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1.xml" ContentType="application/vnd.openxmlformats-officedocument.drawing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Graziella\Desktop\Torrisi_Graziella\Fogli di calcolo\"/>
    </mc:Choice>
  </mc:AlternateContent>
  <bookViews>
    <workbookView xWindow="0" yWindow="0" windowWidth="23040" windowHeight="8508" activeTab="11"/>
  </bookViews>
  <sheets>
    <sheet name="stima car. unit." sheetId="8" r:id="rId1"/>
    <sheet name="Carichi unitari" sheetId="1" r:id="rId2"/>
    <sheet name="Travi" sheetId="2" r:id="rId3"/>
    <sheet name="Carichi sulle travi" sheetId="18" r:id="rId4"/>
    <sheet name="Carichi sui pilastri" sheetId="23" r:id="rId5"/>
    <sheet name="Masse di piano" sheetId="22" r:id="rId6"/>
    <sheet name="Pilastri" sheetId="4" r:id="rId7"/>
    <sheet name=" Masse e forze" sheetId="5" r:id="rId8"/>
    <sheet name="Car. sol" sheetId="6" r:id="rId9"/>
    <sheet name="Ap. globale" sheetId="7" r:id="rId10"/>
    <sheet name="Ap. tipologi di pila " sheetId="9" r:id="rId11"/>
    <sheet name="Rigidezze" sheetId="11" r:id="rId12"/>
  </sheets>
  <definedNames>
    <definedName name="_xlnm.Print_Area" localSheetId="1">'Carichi unitari'!$A$1:$W$26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7" i="6"/>
  <c r="D8" i="6"/>
  <c r="D9" i="6"/>
  <c r="D10" i="6"/>
  <c r="D5" i="6"/>
  <c r="B286" i="9" l="1"/>
  <c r="AT35" i="11" l="1"/>
  <c r="AT36" i="11"/>
  <c r="AT37" i="11"/>
  <c r="AT38" i="11"/>
  <c r="AT39" i="11"/>
  <c r="AT40" i="11"/>
  <c r="AS35" i="11"/>
  <c r="AS36" i="11"/>
  <c r="AS37" i="11"/>
  <c r="AS38" i="11"/>
  <c r="AS39" i="11"/>
  <c r="AS40" i="11"/>
  <c r="B263" i="9" l="1"/>
  <c r="B264" i="9"/>
  <c r="B265" i="9"/>
  <c r="B266" i="9"/>
  <c r="B267" i="9"/>
  <c r="B268" i="9"/>
  <c r="AT30" i="11" l="1"/>
  <c r="AT29" i="11"/>
  <c r="AT28" i="11"/>
  <c r="AT27" i="11"/>
  <c r="AT26" i="11"/>
  <c r="AT25" i="11"/>
  <c r="AB18" i="18" l="1"/>
  <c r="AB17" i="18"/>
  <c r="R18" i="18"/>
  <c r="R17" i="18"/>
  <c r="S17" i="18"/>
  <c r="T17" i="18"/>
  <c r="U17" i="18"/>
  <c r="V17" i="18"/>
  <c r="W17" i="18"/>
  <c r="X17" i="18"/>
  <c r="Y17" i="18"/>
  <c r="Z17" i="18"/>
  <c r="AA17" i="18"/>
  <c r="AA18" i="18"/>
  <c r="Q18" i="18"/>
  <c r="Q17" i="18"/>
  <c r="L4" i="5" l="1"/>
  <c r="D9" i="5" l="1"/>
  <c r="E9" i="5"/>
  <c r="D10" i="5"/>
  <c r="E10" i="5"/>
  <c r="D11" i="5"/>
  <c r="E11" i="5"/>
  <c r="D12" i="5"/>
  <c r="E12" i="5"/>
  <c r="D13" i="5"/>
  <c r="E13" i="5"/>
  <c r="C14" i="5"/>
  <c r="C13" i="5" s="1"/>
  <c r="C12" i="5" s="1"/>
  <c r="C11" i="5" s="1"/>
  <c r="C10" i="5" s="1"/>
  <c r="C9" i="5" s="1"/>
  <c r="D14" i="5"/>
  <c r="E14" i="5"/>
  <c r="F13" i="5" l="1"/>
  <c r="F11" i="5"/>
  <c r="G11" i="5" s="1"/>
  <c r="F9" i="5"/>
  <c r="F14" i="5"/>
  <c r="F12" i="5"/>
  <c r="G12" i="5" s="1"/>
  <c r="F10" i="5"/>
  <c r="H10" i="5" s="1"/>
  <c r="G13" i="5"/>
  <c r="H13" i="5"/>
  <c r="H9" i="5"/>
  <c r="G9" i="5"/>
  <c r="G14" i="5"/>
  <c r="H14" i="5"/>
  <c r="G10" i="5" l="1"/>
  <c r="F15" i="5"/>
  <c r="H11" i="5"/>
  <c r="H15" i="5" s="1"/>
  <c r="H12" i="5"/>
  <c r="G15" i="5"/>
  <c r="Q19" i="23" l="1"/>
  <c r="Q18" i="23"/>
  <c r="P220" i="9" l="1"/>
  <c r="N220" i="9"/>
  <c r="B101" i="9" l="1"/>
  <c r="B100" i="9"/>
  <c r="B104" i="9"/>
  <c r="B103" i="9"/>
  <c r="B75" i="9"/>
  <c r="B74" i="9"/>
  <c r="B72" i="9"/>
  <c r="B71" i="9"/>
  <c r="B61" i="9"/>
  <c r="B60" i="9"/>
  <c r="B58" i="9"/>
  <c r="B57" i="9"/>
  <c r="B42" i="9"/>
  <c r="B40" i="9"/>
  <c r="B32" i="9"/>
  <c r="B31" i="9"/>
  <c r="B29" i="9"/>
  <c r="B28" i="9"/>
  <c r="B18" i="9"/>
  <c r="B17" i="9"/>
  <c r="B14" i="9"/>
  <c r="B15" i="9"/>
  <c r="X6" i="9"/>
  <c r="K29" i="6"/>
  <c r="K28" i="6"/>
  <c r="M3" i="1"/>
  <c r="T30" i="18" s="1"/>
  <c r="G49" i="8"/>
  <c r="Y6" i="9" l="1"/>
  <c r="C101" i="9" s="1"/>
  <c r="Y5" i="9"/>
  <c r="C15" i="9"/>
  <c r="C17" i="9"/>
  <c r="C28" i="9"/>
  <c r="C31" i="9"/>
  <c r="C40" i="9"/>
  <c r="C57" i="9"/>
  <c r="C60" i="9"/>
  <c r="C71" i="9"/>
  <c r="C74" i="9"/>
  <c r="C103" i="9"/>
  <c r="C100" i="9"/>
  <c r="C14" i="9"/>
  <c r="C18" i="9"/>
  <c r="C29" i="9"/>
  <c r="C32" i="9"/>
  <c r="C42" i="9"/>
  <c r="C58" i="9"/>
  <c r="C61" i="9"/>
  <c r="C72" i="9"/>
  <c r="C75" i="9"/>
  <c r="C104" i="9"/>
  <c r="H70" i="8"/>
  <c r="H24" i="8"/>
  <c r="J24" i="8"/>
  <c r="H8" i="8"/>
  <c r="AP16" i="11" l="1"/>
  <c r="AP19" i="11" s="1"/>
  <c r="AM16" i="11"/>
  <c r="AM21" i="11" s="1"/>
  <c r="AM19" i="11" l="1"/>
  <c r="AM17" i="11"/>
  <c r="AM18" i="11"/>
  <c r="AM20" i="11"/>
  <c r="AP20" i="11"/>
  <c r="AP17" i="11"/>
  <c r="AP18" i="11"/>
  <c r="AP21" i="11"/>
  <c r="AV174" i="23" l="1"/>
  <c r="AN174" i="23"/>
  <c r="AF174" i="23"/>
  <c r="X174" i="23"/>
  <c r="P174" i="23"/>
  <c r="H174" i="23"/>
  <c r="AV173" i="23"/>
  <c r="AN173" i="23"/>
  <c r="AF173" i="23"/>
  <c r="X173" i="23"/>
  <c r="P173" i="23"/>
  <c r="H173" i="23"/>
  <c r="AV172" i="23"/>
  <c r="AN172" i="23"/>
  <c r="AF172" i="23"/>
  <c r="X172" i="23"/>
  <c r="P172" i="23"/>
  <c r="H172" i="23"/>
  <c r="AV171" i="23"/>
  <c r="AN171" i="23"/>
  <c r="AF171" i="23"/>
  <c r="X171" i="23"/>
  <c r="P171" i="23"/>
  <c r="H171" i="23"/>
  <c r="AV153" i="23"/>
  <c r="AU153" i="23"/>
  <c r="AN153" i="23"/>
  <c r="AF153" i="23"/>
  <c r="X153" i="23"/>
  <c r="P153" i="23"/>
  <c r="AV152" i="23"/>
  <c r="AN152" i="23"/>
  <c r="AF152" i="23"/>
  <c r="X152" i="23"/>
  <c r="P152" i="23"/>
  <c r="H152" i="23"/>
  <c r="AV151" i="23"/>
  <c r="AN151" i="23"/>
  <c r="AF151" i="23"/>
  <c r="X151" i="23"/>
  <c r="P151" i="23"/>
  <c r="H151" i="23"/>
  <c r="AV163" i="23"/>
  <c r="AN163" i="23"/>
  <c r="AF163" i="23"/>
  <c r="X163" i="23"/>
  <c r="P163" i="23"/>
  <c r="H163" i="23"/>
  <c r="AV162" i="23"/>
  <c r="AN162" i="23"/>
  <c r="AF162" i="23"/>
  <c r="X162" i="23"/>
  <c r="P162" i="23"/>
  <c r="H162" i="23"/>
  <c r="AV161" i="23"/>
  <c r="AN161" i="23"/>
  <c r="AF161" i="23"/>
  <c r="X161" i="23"/>
  <c r="P161" i="23"/>
  <c r="H161" i="23"/>
  <c r="AV143" i="23"/>
  <c r="AU143" i="23"/>
  <c r="AN143" i="23"/>
  <c r="AF143" i="23"/>
  <c r="X143" i="23"/>
  <c r="P143" i="23"/>
  <c r="AV142" i="23"/>
  <c r="AN142" i="23"/>
  <c r="AF142" i="23"/>
  <c r="X142" i="23"/>
  <c r="P142" i="23"/>
  <c r="H142" i="23"/>
  <c r="AV141" i="23"/>
  <c r="AN141" i="23"/>
  <c r="AF141" i="23"/>
  <c r="X141" i="23"/>
  <c r="P141" i="23"/>
  <c r="H141" i="23"/>
  <c r="AV51" i="23"/>
  <c r="AU51" i="23"/>
  <c r="AN51" i="23"/>
  <c r="AF51" i="23"/>
  <c r="X51" i="23"/>
  <c r="P51" i="23"/>
  <c r="AV50" i="23"/>
  <c r="AN50" i="23"/>
  <c r="AF50" i="23"/>
  <c r="X50" i="23"/>
  <c r="P50" i="23"/>
  <c r="H50" i="23"/>
  <c r="AV49" i="23"/>
  <c r="AN49" i="23"/>
  <c r="AF49" i="23"/>
  <c r="X49" i="23"/>
  <c r="P49" i="23"/>
  <c r="H49" i="23"/>
  <c r="AV134" i="23"/>
  <c r="AN134" i="23"/>
  <c r="AF134" i="23"/>
  <c r="X134" i="23"/>
  <c r="P134" i="23"/>
  <c r="H134" i="23"/>
  <c r="AV133" i="23"/>
  <c r="AN133" i="23"/>
  <c r="AF133" i="23"/>
  <c r="X133" i="23"/>
  <c r="P133" i="23"/>
  <c r="H133" i="23"/>
  <c r="AV132" i="23"/>
  <c r="AN132" i="23"/>
  <c r="AF132" i="23"/>
  <c r="X132" i="23"/>
  <c r="P132" i="23"/>
  <c r="H132" i="23"/>
  <c r="AV131" i="23"/>
  <c r="AN131" i="23"/>
  <c r="AF131" i="23"/>
  <c r="X131" i="23"/>
  <c r="P131" i="23"/>
  <c r="H131" i="23"/>
  <c r="AX153" i="23" l="1"/>
  <c r="AX143" i="23"/>
  <c r="AX51" i="23"/>
  <c r="AV123" i="23" l="1"/>
  <c r="AN123" i="23"/>
  <c r="AF123" i="23"/>
  <c r="X123" i="23"/>
  <c r="P123" i="23"/>
  <c r="H123" i="23"/>
  <c r="AV122" i="23"/>
  <c r="AN122" i="23"/>
  <c r="AF122" i="23"/>
  <c r="X122" i="23"/>
  <c r="P122" i="23"/>
  <c r="H122" i="23"/>
  <c r="AV121" i="23"/>
  <c r="AN121" i="23"/>
  <c r="AF121" i="23"/>
  <c r="X121" i="23"/>
  <c r="P121" i="23"/>
  <c r="H121" i="23"/>
  <c r="AV120" i="23"/>
  <c r="AN120" i="23"/>
  <c r="AF120" i="23"/>
  <c r="X120" i="23"/>
  <c r="P120" i="23"/>
  <c r="H120" i="23"/>
  <c r="AV112" i="23"/>
  <c r="AN112" i="23"/>
  <c r="AF112" i="23"/>
  <c r="X112" i="23"/>
  <c r="P112" i="23"/>
  <c r="AI72" i="23"/>
  <c r="AA72" i="23"/>
  <c r="S72" i="23"/>
  <c r="K72" i="23"/>
  <c r="C72" i="23"/>
  <c r="H112" i="23"/>
  <c r="AV111" i="23"/>
  <c r="AN111" i="23"/>
  <c r="AF111" i="23"/>
  <c r="X111" i="23"/>
  <c r="P111" i="23"/>
  <c r="H111" i="23"/>
  <c r="AV110" i="23"/>
  <c r="AN110" i="23"/>
  <c r="AF110" i="23"/>
  <c r="X110" i="23"/>
  <c r="P110" i="23"/>
  <c r="H110" i="23"/>
  <c r="AV109" i="23"/>
  <c r="AN109" i="23"/>
  <c r="AF109" i="23"/>
  <c r="X109" i="23"/>
  <c r="P109" i="23"/>
  <c r="H109" i="23"/>
  <c r="AU100" i="23"/>
  <c r="AS74" i="23"/>
  <c r="AU74" i="23" s="1"/>
  <c r="H15" i="1"/>
  <c r="AV100" i="23"/>
  <c r="AV99" i="23"/>
  <c r="AN99" i="23"/>
  <c r="AF99" i="23"/>
  <c r="X99" i="23"/>
  <c r="P99" i="23"/>
  <c r="H99" i="23"/>
  <c r="AQ90" i="23"/>
  <c r="AV90" i="23" s="1"/>
  <c r="AQ89" i="23"/>
  <c r="AI90" i="23"/>
  <c r="AN90" i="23" s="1"/>
  <c r="AI89" i="23"/>
  <c r="AN89" i="23" s="1"/>
  <c r="AA90" i="23"/>
  <c r="AA89" i="23"/>
  <c r="AF89" i="23" s="1"/>
  <c r="S90" i="23"/>
  <c r="X90" i="23" s="1"/>
  <c r="S89" i="23"/>
  <c r="X89" i="23" s="1"/>
  <c r="K90" i="23"/>
  <c r="P90" i="23" s="1"/>
  <c r="K89" i="23"/>
  <c r="C90" i="23"/>
  <c r="H90" i="23" s="1"/>
  <c r="C89" i="23"/>
  <c r="H89" i="23" s="1"/>
  <c r="AV91" i="23"/>
  <c r="AU91" i="23"/>
  <c r="AN91" i="23"/>
  <c r="AF91" i="23"/>
  <c r="X91" i="23"/>
  <c r="P91" i="23"/>
  <c r="AV89" i="23"/>
  <c r="P89" i="23"/>
  <c r="AU81" i="23"/>
  <c r="AN81" i="23"/>
  <c r="AF81" i="23"/>
  <c r="X81" i="23"/>
  <c r="AQ80" i="23"/>
  <c r="AV80" i="23" s="1"/>
  <c r="AQ79" i="23"/>
  <c r="AI80" i="23"/>
  <c r="AN80" i="23" s="1"/>
  <c r="AI79" i="23"/>
  <c r="AN79" i="23" s="1"/>
  <c r="AA80" i="23"/>
  <c r="AF80" i="23" s="1"/>
  <c r="AA79" i="23"/>
  <c r="S80" i="23"/>
  <c r="X80" i="23" s="1"/>
  <c r="S79" i="23"/>
  <c r="X79" i="23" s="1"/>
  <c r="K80" i="23"/>
  <c r="P80" i="23" s="1"/>
  <c r="K79" i="23"/>
  <c r="P79" i="23" s="1"/>
  <c r="AF90" i="23" l="1"/>
  <c r="AV79" i="23"/>
  <c r="AX100" i="23"/>
  <c r="AF79" i="23"/>
  <c r="AV74" i="23"/>
  <c r="AX74" i="23" s="1"/>
  <c r="AX91" i="23"/>
  <c r="C80" i="23" l="1"/>
  <c r="C79" i="23"/>
  <c r="H80" i="23"/>
  <c r="AV81" i="23"/>
  <c r="AX81" i="23" s="1"/>
  <c r="P81" i="23"/>
  <c r="H79" i="23"/>
  <c r="AV71" i="23"/>
  <c r="AV70" i="23"/>
  <c r="AV69" i="23"/>
  <c r="AN71" i="23"/>
  <c r="AN70" i="23"/>
  <c r="AN69" i="23"/>
  <c r="AF71" i="23"/>
  <c r="AF70" i="23"/>
  <c r="AF69" i="23"/>
  <c r="X71" i="23"/>
  <c r="X70" i="23"/>
  <c r="X69" i="23"/>
  <c r="P71" i="23"/>
  <c r="P70" i="23"/>
  <c r="P69" i="23"/>
  <c r="H71" i="23"/>
  <c r="H70" i="23"/>
  <c r="H69" i="23"/>
  <c r="AV62" i="23"/>
  <c r="AV61" i="23"/>
  <c r="AV60" i="23"/>
  <c r="AV59" i="23"/>
  <c r="AN62" i="23"/>
  <c r="AN61" i="23"/>
  <c r="AN60" i="23"/>
  <c r="AN59" i="23"/>
  <c r="AF62" i="23"/>
  <c r="AF61" i="23"/>
  <c r="AF60" i="23"/>
  <c r="AF59" i="23"/>
  <c r="X62" i="23"/>
  <c r="X61" i="23"/>
  <c r="X60" i="23"/>
  <c r="X59" i="23"/>
  <c r="P62" i="23"/>
  <c r="P61" i="23"/>
  <c r="P60" i="23"/>
  <c r="P59" i="23"/>
  <c r="H62" i="23"/>
  <c r="H61" i="23"/>
  <c r="H60" i="23"/>
  <c r="H59" i="23"/>
  <c r="AU30" i="23" l="1"/>
  <c r="AQ39" i="23" l="1"/>
  <c r="AV39" i="23" s="1"/>
  <c r="AI39" i="23"/>
  <c r="AN39" i="23" s="1"/>
  <c r="AF40" i="23"/>
  <c r="AA39" i="23"/>
  <c r="AF39" i="23" s="1"/>
  <c r="X40" i="23"/>
  <c r="S39" i="23"/>
  <c r="X39" i="23" s="1"/>
  <c r="P40" i="23"/>
  <c r="K39" i="23"/>
  <c r="P39" i="23" s="1"/>
  <c r="E10" i="22"/>
  <c r="Q5" i="8"/>
  <c r="Q9" i="8"/>
  <c r="Q13" i="8"/>
  <c r="C39" i="23"/>
  <c r="H39" i="23" s="1"/>
  <c r="O30" i="6"/>
  <c r="O31" i="6"/>
  <c r="O32" i="6"/>
  <c r="O33" i="6"/>
  <c r="O34" i="6"/>
  <c r="O29" i="6"/>
  <c r="G40" i="8" l="1"/>
  <c r="H40" i="8" s="1"/>
  <c r="O19" i="22" l="1"/>
  <c r="O8" i="22" l="1"/>
  <c r="O6" i="22"/>
  <c r="AV40" i="23" l="1"/>
  <c r="AN40" i="23"/>
  <c r="AV30" i="23"/>
  <c r="AV29" i="23"/>
  <c r="AN30" i="23"/>
  <c r="AN29" i="23"/>
  <c r="AF30" i="23"/>
  <c r="AF29" i="23"/>
  <c r="X30" i="23"/>
  <c r="X29" i="23"/>
  <c r="P30" i="23"/>
  <c r="P29" i="23"/>
  <c r="AX30" i="23" l="1"/>
  <c r="H29" i="23" l="1"/>
  <c r="F25" i="23"/>
  <c r="D37" i="18"/>
  <c r="X194" i="18"/>
  <c r="R194" i="18"/>
  <c r="L194" i="18"/>
  <c r="F194" i="18"/>
  <c r="X182" i="18"/>
  <c r="R182" i="18"/>
  <c r="L182" i="18"/>
  <c r="F182" i="18"/>
  <c r="X178" i="18"/>
  <c r="X177" i="18"/>
  <c r="R178" i="18"/>
  <c r="R177" i="18"/>
  <c r="L178" i="18"/>
  <c r="L177" i="18"/>
  <c r="F178" i="18"/>
  <c r="F177" i="18"/>
  <c r="X172" i="18"/>
  <c r="R172" i="18"/>
  <c r="L172" i="18"/>
  <c r="F172" i="18"/>
  <c r="F143" i="18"/>
  <c r="X132" i="18"/>
  <c r="X131" i="18"/>
  <c r="R132" i="18"/>
  <c r="R131" i="18"/>
  <c r="L132" i="18"/>
  <c r="L131" i="18"/>
  <c r="F132" i="18"/>
  <c r="F131" i="18"/>
  <c r="X127" i="18"/>
  <c r="R127" i="18"/>
  <c r="L127" i="18"/>
  <c r="F127" i="18"/>
  <c r="X122" i="18"/>
  <c r="X121" i="18"/>
  <c r="R122" i="18"/>
  <c r="R121" i="18"/>
  <c r="L122" i="18"/>
  <c r="L121" i="18"/>
  <c r="F122" i="18"/>
  <c r="F121" i="18"/>
  <c r="X114" i="18"/>
  <c r="R114" i="18"/>
  <c r="L114" i="18"/>
  <c r="F114" i="18"/>
  <c r="R86" i="18"/>
  <c r="L86" i="18"/>
  <c r="F86" i="18"/>
  <c r="R71" i="18"/>
  <c r="L71" i="18"/>
  <c r="F71" i="18"/>
  <c r="O185" i="18"/>
  <c r="Q185" i="18" s="1"/>
  <c r="I185" i="18"/>
  <c r="K185" i="18" s="1"/>
  <c r="C185" i="18"/>
  <c r="E185" i="18" s="1"/>
  <c r="O175" i="18"/>
  <c r="Q175" i="18" s="1"/>
  <c r="I175" i="18"/>
  <c r="K175" i="18" s="1"/>
  <c r="C175" i="18"/>
  <c r="E175" i="18" s="1"/>
  <c r="O158" i="18"/>
  <c r="Q158" i="18" s="1"/>
  <c r="I158" i="18"/>
  <c r="K158" i="18" s="1"/>
  <c r="C158" i="18"/>
  <c r="E158" i="18" s="1"/>
  <c r="O134" i="18"/>
  <c r="Q134" i="18" s="1"/>
  <c r="I134" i="18"/>
  <c r="K134" i="18" s="1"/>
  <c r="C134" i="18"/>
  <c r="E134" i="18" s="1"/>
  <c r="O129" i="18"/>
  <c r="Q129" i="18" s="1"/>
  <c r="I129" i="18"/>
  <c r="K129" i="18" s="1"/>
  <c r="C129" i="18"/>
  <c r="E129" i="18" s="1"/>
  <c r="O124" i="18"/>
  <c r="Q124" i="18" s="1"/>
  <c r="I124" i="18"/>
  <c r="K124" i="18" s="1"/>
  <c r="C124" i="18"/>
  <c r="E124" i="18" s="1"/>
  <c r="O95" i="18"/>
  <c r="Q95" i="18" s="1"/>
  <c r="I95" i="18"/>
  <c r="K95" i="18" s="1"/>
  <c r="C95" i="18"/>
  <c r="E95" i="18" s="1"/>
  <c r="H11" i="1"/>
  <c r="E11" i="1"/>
  <c r="G11" i="1" s="1"/>
  <c r="H185" i="18" l="1"/>
  <c r="G185" i="18"/>
  <c r="N185" i="18"/>
  <c r="M185" i="18"/>
  <c r="T185" i="18"/>
  <c r="S185" i="18"/>
  <c r="H175" i="18"/>
  <c r="G175" i="18"/>
  <c r="N175" i="18"/>
  <c r="M175" i="18"/>
  <c r="T175" i="18"/>
  <c r="S175" i="18"/>
  <c r="H158" i="18"/>
  <c r="G158" i="18"/>
  <c r="N158" i="18"/>
  <c r="M158" i="18"/>
  <c r="T158" i="18"/>
  <c r="S158" i="18"/>
  <c r="H134" i="18"/>
  <c r="G134" i="18"/>
  <c r="N134" i="18"/>
  <c r="M134" i="18"/>
  <c r="T134" i="18"/>
  <c r="S134" i="18"/>
  <c r="H129" i="18"/>
  <c r="G129" i="18"/>
  <c r="N129" i="18"/>
  <c r="M129" i="18"/>
  <c r="T129" i="18"/>
  <c r="S129" i="18"/>
  <c r="H124" i="18"/>
  <c r="G124" i="18"/>
  <c r="N124" i="18"/>
  <c r="M124" i="18"/>
  <c r="T124" i="18"/>
  <c r="S124" i="18"/>
  <c r="H95" i="18"/>
  <c r="G95" i="18"/>
  <c r="N95" i="18"/>
  <c r="M95" i="18"/>
  <c r="T95" i="18"/>
  <c r="S95" i="18"/>
  <c r="H78" i="8" l="1"/>
  <c r="H77" i="8" l="1"/>
  <c r="G76" i="8"/>
  <c r="H76" i="8" s="1"/>
  <c r="H75" i="8"/>
  <c r="H79" i="8" s="1"/>
  <c r="C69" i="8"/>
  <c r="G68" i="8"/>
  <c r="H68" i="8" s="1"/>
  <c r="G6" i="8"/>
  <c r="G22" i="8" s="1"/>
  <c r="G23" i="8" s="1"/>
  <c r="C7" i="8"/>
  <c r="C59" i="8"/>
  <c r="G58" i="8"/>
  <c r="E58" i="8"/>
  <c r="G59" i="8"/>
  <c r="C49" i="8"/>
  <c r="C58" i="8" l="1"/>
  <c r="H49" i="8"/>
  <c r="H59" i="8"/>
  <c r="G69" i="8"/>
  <c r="H69" i="8" s="1"/>
  <c r="H71" i="8" s="1"/>
  <c r="C12" i="1" s="1"/>
  <c r="G7" i="8"/>
  <c r="C41" i="8"/>
  <c r="D41" i="8"/>
  <c r="E220" i="9" l="1"/>
  <c r="D222" i="9"/>
  <c r="F222" i="9" s="1"/>
  <c r="G222" i="9" s="1"/>
  <c r="D229" i="9"/>
  <c r="F229" i="9" s="1"/>
  <c r="G229" i="9" s="1"/>
  <c r="E227" i="9"/>
  <c r="B228" i="9"/>
  <c r="O15" i="22" l="1"/>
  <c r="M15" i="22"/>
  <c r="K15" i="22"/>
  <c r="I15" i="22"/>
  <c r="G15" i="22"/>
  <c r="O14" i="22"/>
  <c r="O12" i="22"/>
  <c r="O9" i="22"/>
  <c r="O5" i="22"/>
  <c r="M11" i="22"/>
  <c r="M14" i="22"/>
  <c r="M9" i="22"/>
  <c r="M7" i="22"/>
  <c r="M4" i="22"/>
  <c r="K11" i="22"/>
  <c r="K14" i="22"/>
  <c r="K9" i="22"/>
  <c r="K7" i="22"/>
  <c r="K4" i="22"/>
  <c r="I14" i="22"/>
  <c r="I10" i="22"/>
  <c r="I9" i="22"/>
  <c r="I7" i="22"/>
  <c r="I4" i="22"/>
  <c r="G7" i="22"/>
  <c r="G14" i="22"/>
  <c r="G10" i="22"/>
  <c r="G9" i="22"/>
  <c r="G4" i="22"/>
  <c r="E9" i="22"/>
  <c r="E4" i="22"/>
  <c r="C26" i="1"/>
  <c r="C25" i="1"/>
  <c r="C24" i="1"/>
  <c r="C23" i="1"/>
  <c r="E15" i="22"/>
  <c r="E14" i="22"/>
  <c r="W189" i="18"/>
  <c r="O180" i="18"/>
  <c r="I180" i="18"/>
  <c r="C180" i="18"/>
  <c r="W178" i="18"/>
  <c r="W177" i="18"/>
  <c r="W127" i="18"/>
  <c r="X126" i="18"/>
  <c r="W126" i="18"/>
  <c r="R126" i="18"/>
  <c r="L126" i="18"/>
  <c r="F126" i="18"/>
  <c r="W165" i="18"/>
  <c r="H24" i="1"/>
  <c r="F17" i="22" s="1"/>
  <c r="G167" i="23" l="1"/>
  <c r="J167" i="23" s="1"/>
  <c r="G55" i="23"/>
  <c r="J55" i="23" s="1"/>
  <c r="G177" i="23"/>
  <c r="J177" i="23" s="1"/>
  <c r="G157" i="23"/>
  <c r="J157" i="23" s="1"/>
  <c r="G147" i="23"/>
  <c r="J147" i="23" s="1"/>
  <c r="G137" i="23"/>
  <c r="J137" i="23" s="1"/>
  <c r="G116" i="23"/>
  <c r="J116" i="23" s="1"/>
  <c r="G95" i="23"/>
  <c r="J95" i="23" s="1"/>
  <c r="G127" i="23"/>
  <c r="J127" i="23" s="1"/>
  <c r="G75" i="23"/>
  <c r="J75" i="23" s="1"/>
  <c r="G85" i="23"/>
  <c r="J85" i="23" s="1"/>
  <c r="O177" i="23"/>
  <c r="R177" i="23" s="1"/>
  <c r="O147" i="23"/>
  <c r="R147" i="23" s="1"/>
  <c r="O137" i="23"/>
  <c r="R137" i="23" s="1"/>
  <c r="O167" i="23"/>
  <c r="R167" i="23" s="1"/>
  <c r="O55" i="23"/>
  <c r="R55" i="23" s="1"/>
  <c r="O157" i="23"/>
  <c r="R157" i="23" s="1"/>
  <c r="O127" i="23"/>
  <c r="R127" i="23" s="1"/>
  <c r="O95" i="23"/>
  <c r="R95" i="23" s="1"/>
  <c r="O116" i="23"/>
  <c r="R116" i="23" s="1"/>
  <c r="O75" i="23"/>
  <c r="R75" i="23" s="1"/>
  <c r="O85" i="23"/>
  <c r="R85" i="23" s="1"/>
  <c r="O65" i="23"/>
  <c r="R65" i="23" s="1"/>
  <c r="AM167" i="23"/>
  <c r="AP167" i="23" s="1"/>
  <c r="AM55" i="23"/>
  <c r="AP55" i="23" s="1"/>
  <c r="AU177" i="23"/>
  <c r="AX177" i="23" s="1"/>
  <c r="AM177" i="23"/>
  <c r="AP177" i="23" s="1"/>
  <c r="AM157" i="23"/>
  <c r="AP157" i="23" s="1"/>
  <c r="AM147" i="23"/>
  <c r="AP147" i="23" s="1"/>
  <c r="AU157" i="23"/>
  <c r="AX157" i="23" s="1"/>
  <c r="AU147" i="23"/>
  <c r="AX147" i="23" s="1"/>
  <c r="AM137" i="23"/>
  <c r="AP137" i="23" s="1"/>
  <c r="AU167" i="23"/>
  <c r="AX167" i="23" s="1"/>
  <c r="AU55" i="23"/>
  <c r="AX55" i="23" s="1"/>
  <c r="AU137" i="23"/>
  <c r="AX137" i="23" s="1"/>
  <c r="AU127" i="23"/>
  <c r="AX127" i="23" s="1"/>
  <c r="AM116" i="23"/>
  <c r="AP116" i="23" s="1"/>
  <c r="AM95" i="23"/>
  <c r="AP95" i="23" s="1"/>
  <c r="AU116" i="23"/>
  <c r="AX116" i="23" s="1"/>
  <c r="AM127" i="23"/>
  <c r="AP127" i="23" s="1"/>
  <c r="AM75" i="23"/>
  <c r="AP75" i="23" s="1"/>
  <c r="AU75" i="23"/>
  <c r="AX75" i="23" s="1"/>
  <c r="AM85" i="23"/>
  <c r="AP85" i="23" s="1"/>
  <c r="AM65" i="23"/>
  <c r="AP65" i="23" s="1"/>
  <c r="AU65" i="23"/>
  <c r="AX65" i="23" s="1"/>
  <c r="W177" i="23"/>
  <c r="Z177" i="23" s="1"/>
  <c r="W157" i="23"/>
  <c r="Z157" i="23" s="1"/>
  <c r="W147" i="23"/>
  <c r="Z147" i="23" s="1"/>
  <c r="W167" i="23"/>
  <c r="Z167" i="23" s="1"/>
  <c r="W55" i="23"/>
  <c r="Z55" i="23" s="1"/>
  <c r="AE177" i="23"/>
  <c r="AH177" i="23" s="1"/>
  <c r="AE137" i="23"/>
  <c r="AH137" i="23" s="1"/>
  <c r="AE157" i="23"/>
  <c r="AH157" i="23" s="1"/>
  <c r="AE147" i="23"/>
  <c r="AH147" i="23" s="1"/>
  <c r="W137" i="23"/>
  <c r="Z137" i="23" s="1"/>
  <c r="AE167" i="23"/>
  <c r="AH167" i="23" s="1"/>
  <c r="AE55" i="23"/>
  <c r="AH55" i="23" s="1"/>
  <c r="AE127" i="23"/>
  <c r="AH127" i="23" s="1"/>
  <c r="W116" i="23"/>
  <c r="Z116" i="23" s="1"/>
  <c r="W95" i="23"/>
  <c r="Z95" i="23" s="1"/>
  <c r="W127" i="23"/>
  <c r="Z127" i="23" s="1"/>
  <c r="AE116" i="23"/>
  <c r="AH116" i="23" s="1"/>
  <c r="AE95" i="23"/>
  <c r="AH95" i="23" s="1"/>
  <c r="AE85" i="23"/>
  <c r="AH85" i="23" s="1"/>
  <c r="W75" i="23"/>
  <c r="Z75" i="23" s="1"/>
  <c r="W65" i="23"/>
  <c r="Z65" i="23" s="1"/>
  <c r="W85" i="23"/>
  <c r="Z85" i="23" s="1"/>
  <c r="AE75" i="23"/>
  <c r="AH75" i="23" s="1"/>
  <c r="AE65" i="23"/>
  <c r="AH65" i="23" s="1"/>
  <c r="F22" i="22"/>
  <c r="AM105" i="23"/>
  <c r="AM35" i="23"/>
  <c r="AM45" i="23"/>
  <c r="G105" i="23"/>
  <c r="G65" i="23"/>
  <c r="G45" i="23"/>
  <c r="G35" i="23"/>
  <c r="H22" i="22"/>
  <c r="H17" i="22"/>
  <c r="N22" i="22"/>
  <c r="O105" i="23"/>
  <c r="O45" i="23"/>
  <c r="O35" i="23"/>
  <c r="AU40" i="23"/>
  <c r="J22" i="22"/>
  <c r="L22" i="22"/>
  <c r="W105" i="23"/>
  <c r="AE105" i="23"/>
  <c r="AE35" i="23"/>
  <c r="W35" i="23"/>
  <c r="AE45" i="23"/>
  <c r="W45" i="23"/>
  <c r="P22" i="22"/>
  <c r="H26" i="1"/>
  <c r="H25" i="1"/>
  <c r="Z45" i="23" l="1"/>
  <c r="L18" i="22"/>
  <c r="H18" i="22"/>
  <c r="J18" i="22"/>
  <c r="AH45" i="23"/>
  <c r="R45" i="23"/>
  <c r="Z35" i="23"/>
  <c r="Z105" i="23"/>
  <c r="R105" i="23"/>
  <c r="J35" i="23"/>
  <c r="J105" i="23"/>
  <c r="AP35" i="23"/>
  <c r="AP105" i="23"/>
  <c r="R35" i="23"/>
  <c r="J65" i="23"/>
  <c r="P19" i="22"/>
  <c r="N19" i="22"/>
  <c r="L19" i="22"/>
  <c r="AH105" i="23"/>
  <c r="AH35" i="23"/>
  <c r="AX40" i="23"/>
  <c r="J45" i="23"/>
  <c r="AP45" i="23"/>
  <c r="X196" i="18"/>
  <c r="U196" i="18"/>
  <c r="W196" i="18" s="1"/>
  <c r="Z196" i="18" s="1"/>
  <c r="X191" i="18"/>
  <c r="U191" i="18"/>
  <c r="W191" i="18" s="1"/>
  <c r="X167" i="18"/>
  <c r="U167" i="18"/>
  <c r="W167" i="18" s="1"/>
  <c r="X140" i="18"/>
  <c r="U140" i="18"/>
  <c r="W140" i="18" s="1"/>
  <c r="Z140" i="18" s="1"/>
  <c r="X116" i="18"/>
  <c r="U116" i="18"/>
  <c r="W116" i="18" s="1"/>
  <c r="Z116" i="18" s="1"/>
  <c r="U111" i="18"/>
  <c r="W111" i="18" s="1"/>
  <c r="Z111" i="18" s="1"/>
  <c r="X111" i="18"/>
  <c r="W109" i="18"/>
  <c r="X101" i="18"/>
  <c r="U101" i="18"/>
  <c r="W101" i="18" s="1"/>
  <c r="O101" i="18"/>
  <c r="R101" i="18" s="1"/>
  <c r="I101" i="18"/>
  <c r="L101" i="18" s="1"/>
  <c r="F99" i="18"/>
  <c r="U87" i="18"/>
  <c r="W87" i="18" s="1"/>
  <c r="Z87" i="18" s="1"/>
  <c r="X87" i="18"/>
  <c r="X82" i="18"/>
  <c r="U82" i="18"/>
  <c r="W82" i="18" s="1"/>
  <c r="Z82" i="18" s="1"/>
  <c r="X60" i="18"/>
  <c r="U60" i="18"/>
  <c r="W60" i="18" s="1"/>
  <c r="Z60" i="18" s="1"/>
  <c r="U44" i="18"/>
  <c r="W44" i="18" s="1"/>
  <c r="X44" i="18"/>
  <c r="Z191" i="18" l="1"/>
  <c r="Z167" i="18"/>
  <c r="Z101" i="18"/>
  <c r="G41" i="8"/>
  <c r="H41" i="8" s="1"/>
  <c r="H15" i="8"/>
  <c r="G14" i="8"/>
  <c r="R196" i="18"/>
  <c r="L196" i="18"/>
  <c r="X189" i="18"/>
  <c r="R189" i="18"/>
  <c r="L189" i="18"/>
  <c r="F189" i="18"/>
  <c r="X183" i="18"/>
  <c r="W183" i="18"/>
  <c r="R183" i="18"/>
  <c r="L183" i="18"/>
  <c r="F183" i="18"/>
  <c r="W182" i="18"/>
  <c r="X173" i="18"/>
  <c r="W173" i="18"/>
  <c r="R173" i="18"/>
  <c r="L173" i="18"/>
  <c r="F173" i="18"/>
  <c r="W172" i="18"/>
  <c r="X165" i="18"/>
  <c r="R165" i="18"/>
  <c r="L165" i="18"/>
  <c r="F165" i="18"/>
  <c r="X162" i="18"/>
  <c r="U162" i="18"/>
  <c r="R162" i="18"/>
  <c r="L162" i="18"/>
  <c r="F162" i="18"/>
  <c r="X160" i="18"/>
  <c r="W160" i="18"/>
  <c r="R160" i="18"/>
  <c r="L160" i="18"/>
  <c r="F160" i="18"/>
  <c r="X156" i="18"/>
  <c r="W156" i="18"/>
  <c r="R156" i="18"/>
  <c r="L156" i="18"/>
  <c r="F156" i="18"/>
  <c r="X155" i="18"/>
  <c r="W155" i="18"/>
  <c r="R155" i="18"/>
  <c r="L155" i="18"/>
  <c r="F155" i="18"/>
  <c r="W132" i="18"/>
  <c r="W131" i="18"/>
  <c r="X148" i="18"/>
  <c r="W148" i="18"/>
  <c r="R148" i="18"/>
  <c r="L148" i="18"/>
  <c r="F148" i="18"/>
  <c r="X150" i="18"/>
  <c r="U150" i="18"/>
  <c r="R150" i="18"/>
  <c r="L150" i="18"/>
  <c r="F150" i="18"/>
  <c r="X144" i="18"/>
  <c r="W144" i="18"/>
  <c r="R144" i="18"/>
  <c r="L144" i="18"/>
  <c r="F144" i="18"/>
  <c r="X143" i="18"/>
  <c r="W143" i="18"/>
  <c r="R143" i="18"/>
  <c r="L143" i="18"/>
  <c r="X138" i="18"/>
  <c r="W138" i="18"/>
  <c r="R138" i="18"/>
  <c r="L138" i="18"/>
  <c r="F138" i="18"/>
  <c r="W122" i="18"/>
  <c r="W121" i="18"/>
  <c r="R116" i="18"/>
  <c r="L116" i="18"/>
  <c r="W74" i="18" l="1"/>
  <c r="W69" i="18"/>
  <c r="W93" i="18"/>
  <c r="X109" i="18"/>
  <c r="R109" i="18"/>
  <c r="L109" i="18"/>
  <c r="F109" i="18"/>
  <c r="C13" i="2"/>
  <c r="X93" i="18"/>
  <c r="R93" i="18"/>
  <c r="L93" i="18"/>
  <c r="F93" i="18"/>
  <c r="B254" i="9" l="1"/>
  <c r="B245" i="9"/>
  <c r="B242" i="9"/>
  <c r="B231" i="9"/>
  <c r="B214" i="9"/>
  <c r="B212" i="9"/>
  <c r="B204" i="9"/>
  <c r="B203" i="9"/>
  <c r="B201" i="9"/>
  <c r="B200" i="9"/>
  <c r="B190" i="9"/>
  <c r="B189" i="9"/>
  <c r="B187" i="9"/>
  <c r="B186" i="9"/>
  <c r="B171" i="9"/>
  <c r="B169" i="9"/>
  <c r="B161" i="9"/>
  <c r="B160" i="9"/>
  <c r="B158" i="9"/>
  <c r="B157" i="9"/>
  <c r="B147" i="9"/>
  <c r="B146" i="9"/>
  <c r="B144" i="9"/>
  <c r="B143" i="9"/>
  <c r="B126" i="9"/>
  <c r="B128" i="9"/>
  <c r="C123" i="9"/>
  <c r="C121" i="9"/>
  <c r="B118" i="9"/>
  <c r="B117" i="9"/>
  <c r="B115" i="9"/>
  <c r="B114" i="9"/>
  <c r="B83" i="9"/>
  <c r="B85" i="9"/>
  <c r="U89" i="18" l="1"/>
  <c r="X89" i="18" s="1"/>
  <c r="O89" i="18"/>
  <c r="O91" i="18" s="1"/>
  <c r="Q91" i="18" s="1"/>
  <c r="I89" i="18"/>
  <c r="C89" i="18"/>
  <c r="F89" i="18" l="1"/>
  <c r="C91" i="18"/>
  <c r="E91" i="18" s="1"/>
  <c r="L89" i="18"/>
  <c r="I91" i="18"/>
  <c r="K91" i="18" s="1"/>
  <c r="S91" i="18"/>
  <c r="T91" i="18"/>
  <c r="R89" i="18"/>
  <c r="W89" i="18"/>
  <c r="N91" i="18" l="1"/>
  <c r="M91" i="18"/>
  <c r="H91" i="18"/>
  <c r="G91" i="18"/>
  <c r="U86" i="18"/>
  <c r="X86" i="18" s="1"/>
  <c r="O82" i="18"/>
  <c r="R82" i="18" s="1"/>
  <c r="I82" i="18"/>
  <c r="F80" i="18"/>
  <c r="X74" i="18"/>
  <c r="R74" i="18"/>
  <c r="L74" i="18"/>
  <c r="F74" i="18"/>
  <c r="L82" i="18" l="1"/>
  <c r="U71" i="18"/>
  <c r="X71" i="18" s="1"/>
  <c r="X69" i="18"/>
  <c r="R69" i="18"/>
  <c r="L69" i="18"/>
  <c r="F69" i="18"/>
  <c r="U65" i="18"/>
  <c r="W65" i="18" s="1"/>
  <c r="O65" i="18"/>
  <c r="I65" i="18"/>
  <c r="C65" i="18"/>
  <c r="R58" i="18"/>
  <c r="L58" i="18"/>
  <c r="F58" i="18"/>
  <c r="U55" i="18"/>
  <c r="X55" i="18" s="1"/>
  <c r="O55" i="18"/>
  <c r="R55" i="18" s="1"/>
  <c r="I55" i="18"/>
  <c r="L55" i="18" s="1"/>
  <c r="F53" i="18"/>
  <c r="U49" i="18"/>
  <c r="X49" i="18" s="1"/>
  <c r="O49" i="18"/>
  <c r="I49" i="18"/>
  <c r="H12" i="1"/>
  <c r="P5" i="22" s="1"/>
  <c r="F12" i="1"/>
  <c r="F42" i="18"/>
  <c r="C49" i="18"/>
  <c r="F49" i="18" l="1"/>
  <c r="C51" i="18"/>
  <c r="E51" i="18" s="1"/>
  <c r="L49" i="18"/>
  <c r="I51" i="18"/>
  <c r="K51" i="18" s="1"/>
  <c r="R65" i="18"/>
  <c r="O67" i="18"/>
  <c r="Q67" i="18" s="1"/>
  <c r="F65" i="18"/>
  <c r="C67" i="18"/>
  <c r="E67" i="18" s="1"/>
  <c r="R49" i="18"/>
  <c r="O51" i="18"/>
  <c r="Q51" i="18" s="1"/>
  <c r="L65" i="18"/>
  <c r="I67" i="18"/>
  <c r="K67" i="18" s="1"/>
  <c r="W55" i="18"/>
  <c r="Z55" i="18" s="1"/>
  <c r="X65" i="18"/>
  <c r="W49" i="18"/>
  <c r="N67" i="18" l="1"/>
  <c r="M67" i="18"/>
  <c r="H67" i="18"/>
  <c r="G67" i="18"/>
  <c r="N51" i="18"/>
  <c r="M51" i="18"/>
  <c r="T51" i="18"/>
  <c r="S51" i="18"/>
  <c r="T67" i="18"/>
  <c r="S67" i="18"/>
  <c r="O44" i="18"/>
  <c r="R44" i="18" s="1"/>
  <c r="P8" i="22"/>
  <c r="F15" i="1"/>
  <c r="I44" i="18"/>
  <c r="L44" i="18" s="1"/>
  <c r="C39" i="8" l="1"/>
  <c r="H42" i="8"/>
  <c r="H58" i="8" l="1"/>
  <c r="C50" i="8"/>
  <c r="H50" i="8" s="1"/>
  <c r="H51" i="8" s="1"/>
  <c r="C13" i="1" s="1"/>
  <c r="Q180" i="18" l="1"/>
  <c r="E180" i="18"/>
  <c r="K180" i="18"/>
  <c r="C60" i="8"/>
  <c r="H60" i="8" s="1"/>
  <c r="H61" i="8" s="1"/>
  <c r="C22" i="1" s="1"/>
  <c r="H31" i="8"/>
  <c r="H30" i="8"/>
  <c r="G29" i="8"/>
  <c r="H29" i="8" s="1"/>
  <c r="C23" i="8"/>
  <c r="K18" i="8"/>
  <c r="AE156" i="23" l="1"/>
  <c r="AH156" i="23" s="1"/>
  <c r="W166" i="23"/>
  <c r="Z166" i="23" s="1"/>
  <c r="AE146" i="23"/>
  <c r="AH146" i="23" s="1"/>
  <c r="AM126" i="23"/>
  <c r="AP126" i="23" s="1"/>
  <c r="G126" i="23"/>
  <c r="J126" i="23" s="1"/>
  <c r="AM115" i="23"/>
  <c r="AP115" i="23" s="1"/>
  <c r="W54" i="23"/>
  <c r="Z54" i="23" s="1"/>
  <c r="O156" i="23"/>
  <c r="R156" i="23" s="1"/>
  <c r="AM166" i="23"/>
  <c r="AP166" i="23" s="1"/>
  <c r="G166" i="23"/>
  <c r="J166" i="23" s="1"/>
  <c r="O146" i="23"/>
  <c r="R146" i="23" s="1"/>
  <c r="W126" i="23"/>
  <c r="Z126" i="23" s="1"/>
  <c r="W115" i="23"/>
  <c r="Z115" i="23" s="1"/>
  <c r="AM54" i="23"/>
  <c r="AP54" i="23" s="1"/>
  <c r="G54" i="23"/>
  <c r="J54" i="23" s="1"/>
  <c r="W156" i="23"/>
  <c r="Z156" i="23" s="1"/>
  <c r="W146" i="23"/>
  <c r="Z146" i="23" s="1"/>
  <c r="O115" i="23"/>
  <c r="R115" i="23" s="1"/>
  <c r="O54" i="23"/>
  <c r="R54" i="23" s="1"/>
  <c r="O166" i="23"/>
  <c r="R166" i="23" s="1"/>
  <c r="G115" i="23"/>
  <c r="J115" i="23" s="1"/>
  <c r="AM146" i="23"/>
  <c r="AP146" i="23" s="1"/>
  <c r="AE54" i="23"/>
  <c r="AH54" i="23" s="1"/>
  <c r="G156" i="23"/>
  <c r="J156" i="23" s="1"/>
  <c r="AE166" i="23"/>
  <c r="AH166" i="23" s="1"/>
  <c r="G146" i="23"/>
  <c r="J146" i="23" s="1"/>
  <c r="AE115" i="23"/>
  <c r="AH115" i="23" s="1"/>
  <c r="AE126" i="23"/>
  <c r="AH126" i="23" s="1"/>
  <c r="AM156" i="23"/>
  <c r="AP156" i="23" s="1"/>
  <c r="O126" i="23"/>
  <c r="R126" i="23" s="1"/>
  <c r="AM92" i="23"/>
  <c r="AP92" i="23" s="1"/>
  <c r="G92" i="23"/>
  <c r="J92" i="23" s="1"/>
  <c r="W92" i="23"/>
  <c r="Z92" i="23" s="1"/>
  <c r="O92" i="23"/>
  <c r="R92" i="23" s="1"/>
  <c r="AE92" i="23"/>
  <c r="AH92" i="23" s="1"/>
  <c r="O82" i="23"/>
  <c r="R82" i="23" s="1"/>
  <c r="AE82" i="23"/>
  <c r="AH82" i="23" s="1"/>
  <c r="G72" i="23"/>
  <c r="J72" i="23" s="1"/>
  <c r="W82" i="23"/>
  <c r="Z82" i="23" s="1"/>
  <c r="AM72" i="23"/>
  <c r="AP72" i="23" s="1"/>
  <c r="O72" i="23"/>
  <c r="R72" i="23" s="1"/>
  <c r="AM82" i="23"/>
  <c r="AP82" i="23" s="1"/>
  <c r="G82" i="23"/>
  <c r="J82" i="23" s="1"/>
  <c r="AE72" i="23"/>
  <c r="AH72" i="23" s="1"/>
  <c r="W72" i="23"/>
  <c r="Z72" i="23" s="1"/>
  <c r="O102" i="23"/>
  <c r="AE102" i="23"/>
  <c r="AM102" i="23"/>
  <c r="W102" i="23"/>
  <c r="G102" i="23"/>
  <c r="AM42" i="23"/>
  <c r="O42" i="23"/>
  <c r="W32" i="23"/>
  <c r="AE42" i="23"/>
  <c r="AM32" i="23"/>
  <c r="G32" i="23"/>
  <c r="W42" i="23"/>
  <c r="O32" i="23"/>
  <c r="G42" i="23"/>
  <c r="AE32" i="23"/>
  <c r="T180" i="18"/>
  <c r="S180" i="18"/>
  <c r="N180" i="18"/>
  <c r="M180" i="18"/>
  <c r="H180" i="18"/>
  <c r="G180" i="18"/>
  <c r="H51" i="18"/>
  <c r="G51" i="18"/>
  <c r="Q102" i="18"/>
  <c r="T102" i="18" s="1"/>
  <c r="K102" i="18"/>
  <c r="N102" i="18" s="1"/>
  <c r="E102" i="18"/>
  <c r="H102" i="18" s="1"/>
  <c r="Q197" i="18"/>
  <c r="T197" i="18" s="1"/>
  <c r="E192" i="18"/>
  <c r="H192" i="18" s="1"/>
  <c r="K168" i="18"/>
  <c r="N168" i="18" s="1"/>
  <c r="K163" i="18"/>
  <c r="N163" i="18" s="1"/>
  <c r="Q146" i="18"/>
  <c r="T146" i="18" s="1"/>
  <c r="Q141" i="18"/>
  <c r="T141" i="18" s="1"/>
  <c r="K192" i="18"/>
  <c r="N192" i="18" s="1"/>
  <c r="Q163" i="18"/>
  <c r="T163" i="18" s="1"/>
  <c r="W151" i="18"/>
  <c r="Z151" i="18" s="1"/>
  <c r="K197" i="18"/>
  <c r="N197" i="18" s="1"/>
  <c r="E168" i="18"/>
  <c r="H168" i="18" s="1"/>
  <c r="E163" i="18"/>
  <c r="H163" i="18" s="1"/>
  <c r="Q151" i="18"/>
  <c r="T151" i="18" s="1"/>
  <c r="K146" i="18"/>
  <c r="N146" i="18" s="1"/>
  <c r="K141" i="18"/>
  <c r="N141" i="18" s="1"/>
  <c r="Q168" i="18"/>
  <c r="T168" i="18" s="1"/>
  <c r="E151" i="18"/>
  <c r="H151" i="18" s="1"/>
  <c r="E197" i="18"/>
  <c r="H197" i="18" s="1"/>
  <c r="Q192" i="18"/>
  <c r="T192" i="18" s="1"/>
  <c r="W163" i="18"/>
  <c r="Z163" i="18" s="1"/>
  <c r="K151" i="18"/>
  <c r="N151" i="18" s="1"/>
  <c r="E146" i="18"/>
  <c r="H146" i="18" s="1"/>
  <c r="E141" i="18"/>
  <c r="H141" i="18" s="1"/>
  <c r="Q117" i="18"/>
  <c r="T117" i="18" s="1"/>
  <c r="E117" i="18"/>
  <c r="H117" i="18" s="1"/>
  <c r="K117" i="18"/>
  <c r="N117" i="18" s="1"/>
  <c r="Q112" i="18"/>
  <c r="T112" i="18" s="1"/>
  <c r="K112" i="18"/>
  <c r="N112" i="18" s="1"/>
  <c r="E112" i="18"/>
  <c r="H112" i="18" s="1"/>
  <c r="K87" i="18"/>
  <c r="N87" i="18" s="1"/>
  <c r="E83" i="18"/>
  <c r="H83" i="18" s="1"/>
  <c r="Q76" i="18"/>
  <c r="T76" i="18" s="1"/>
  <c r="Q87" i="18"/>
  <c r="T87" i="18" s="1"/>
  <c r="E87" i="18"/>
  <c r="H87" i="18" s="1"/>
  <c r="Q83" i="18"/>
  <c r="T83" i="18" s="1"/>
  <c r="K76" i="18"/>
  <c r="N76" i="18" s="1"/>
  <c r="E76" i="18"/>
  <c r="H76" i="18" s="1"/>
  <c r="K83" i="18"/>
  <c r="N83" i="18" s="1"/>
  <c r="K72" i="18"/>
  <c r="N72" i="18" s="1"/>
  <c r="E72" i="18"/>
  <c r="H72" i="18" s="1"/>
  <c r="Q61" i="18"/>
  <c r="T61" i="18" s="1"/>
  <c r="Q56" i="18"/>
  <c r="T56" i="18" s="1"/>
  <c r="K61" i="18"/>
  <c r="N61" i="18" s="1"/>
  <c r="K56" i="18"/>
  <c r="N56" i="18" s="1"/>
  <c r="Q72" i="18"/>
  <c r="T72" i="18" s="1"/>
  <c r="E61" i="18"/>
  <c r="H61" i="18" s="1"/>
  <c r="E56" i="18"/>
  <c r="H56" i="18" s="1"/>
  <c r="Q45" i="18"/>
  <c r="E45" i="18"/>
  <c r="K45" i="18"/>
  <c r="H32" i="8"/>
  <c r="G13" i="8"/>
  <c r="Z102" i="23" l="1"/>
  <c r="AP102" i="23"/>
  <c r="AH102" i="23"/>
  <c r="R102" i="23"/>
  <c r="J102" i="23"/>
  <c r="AH32" i="23"/>
  <c r="R42" i="23"/>
  <c r="J42" i="23"/>
  <c r="Z42" i="23"/>
  <c r="J32" i="23"/>
  <c r="AP42" i="23"/>
  <c r="AP32" i="23"/>
  <c r="R32" i="23"/>
  <c r="AH42" i="23"/>
  <c r="Z32" i="23"/>
  <c r="T45" i="18"/>
  <c r="N45" i="18"/>
  <c r="H45" i="18"/>
  <c r="E20" i="5"/>
  <c r="D20" i="5"/>
  <c r="B20" i="5"/>
  <c r="AH118" i="11" l="1"/>
  <c r="P124" i="11"/>
  <c r="AH34" i="11"/>
  <c r="P40" i="11"/>
  <c r="AH13" i="11"/>
  <c r="P19" i="11"/>
  <c r="I253" i="9" l="1"/>
  <c r="I248" i="9"/>
  <c r="I244" i="9"/>
  <c r="I241" i="9"/>
  <c r="I237" i="9"/>
  <c r="I234" i="9"/>
  <c r="I230" i="9"/>
  <c r="I227" i="9"/>
  <c r="I223" i="9"/>
  <c r="I220" i="9"/>
  <c r="E223" i="9"/>
  <c r="E230" i="9"/>
  <c r="E234" i="9"/>
  <c r="E237" i="9"/>
  <c r="E241" i="9"/>
  <c r="E244" i="9"/>
  <c r="E253" i="9" l="1"/>
  <c r="E248" i="9"/>
  <c r="I5" i="2" l="1"/>
  <c r="I6" i="2"/>
  <c r="O6" i="2"/>
  <c r="O5" i="2"/>
  <c r="S119" i="11" l="1"/>
  <c r="S117" i="11" s="1"/>
  <c r="S115" i="11" s="1"/>
  <c r="S113" i="11" s="1"/>
  <c r="S111" i="11" s="1"/>
  <c r="A119" i="11"/>
  <c r="A117" i="11" s="1"/>
  <c r="A115" i="11" s="1"/>
  <c r="A113" i="11" s="1"/>
  <c r="A111" i="11" s="1"/>
  <c r="W108" i="11"/>
  <c r="Y108" i="11" s="1"/>
  <c r="AA108" i="11" s="1"/>
  <c r="AC108" i="11" s="1"/>
  <c r="AE108" i="11" s="1"/>
  <c r="E108" i="11"/>
  <c r="G108" i="11" s="1"/>
  <c r="I108" i="11" s="1"/>
  <c r="K108" i="11" s="1"/>
  <c r="M108" i="11" s="1"/>
  <c r="P103" i="11"/>
  <c r="S98" i="11"/>
  <c r="S96" i="11" s="1"/>
  <c r="S94" i="11" s="1"/>
  <c r="S92" i="11" s="1"/>
  <c r="S90" i="11" s="1"/>
  <c r="A98" i="11"/>
  <c r="A96" i="11" s="1"/>
  <c r="A94" i="11" s="1"/>
  <c r="A92" i="11" s="1"/>
  <c r="A90" i="11" s="1"/>
  <c r="AH97" i="11"/>
  <c r="W87" i="11"/>
  <c r="Y87" i="11" s="1"/>
  <c r="AA87" i="11" s="1"/>
  <c r="AC87" i="11" s="1"/>
  <c r="AE87" i="11" s="1"/>
  <c r="E87" i="11"/>
  <c r="G87" i="11" s="1"/>
  <c r="I87" i="11" s="1"/>
  <c r="K87" i="11" s="1"/>
  <c r="M87" i="11" s="1"/>
  <c r="P82" i="11"/>
  <c r="S77" i="11"/>
  <c r="S75" i="11" s="1"/>
  <c r="S73" i="11" s="1"/>
  <c r="S71" i="11" s="1"/>
  <c r="S69" i="11" s="1"/>
  <c r="A77" i="11"/>
  <c r="A75" i="11" s="1"/>
  <c r="A73" i="11" s="1"/>
  <c r="A71" i="11" s="1"/>
  <c r="A69" i="11" s="1"/>
  <c r="AH76" i="11"/>
  <c r="W66" i="11"/>
  <c r="Y66" i="11" s="1"/>
  <c r="AA66" i="11" s="1"/>
  <c r="AC66" i="11" s="1"/>
  <c r="AE66" i="11" s="1"/>
  <c r="E66" i="11"/>
  <c r="G66" i="11" s="1"/>
  <c r="I66" i="11" s="1"/>
  <c r="K66" i="11" s="1"/>
  <c r="M66" i="11" s="1"/>
  <c r="P61" i="11"/>
  <c r="S56" i="11"/>
  <c r="S54" i="11" s="1"/>
  <c r="S52" i="11" s="1"/>
  <c r="S50" i="11" s="1"/>
  <c r="S48" i="11" s="1"/>
  <c r="A56" i="11"/>
  <c r="A54" i="11" s="1"/>
  <c r="A52" i="11" s="1"/>
  <c r="A50" i="11" s="1"/>
  <c r="A48" i="11" s="1"/>
  <c r="AH55" i="11"/>
  <c r="W45" i="11"/>
  <c r="Y45" i="11" s="1"/>
  <c r="AA45" i="11" s="1"/>
  <c r="AC45" i="11" s="1"/>
  <c r="AE45" i="11" s="1"/>
  <c r="E45" i="11"/>
  <c r="G45" i="11" s="1"/>
  <c r="I45" i="11" s="1"/>
  <c r="K45" i="11" s="1"/>
  <c r="M45" i="11" s="1"/>
  <c r="S35" i="11"/>
  <c r="S33" i="11" s="1"/>
  <c r="S31" i="11" s="1"/>
  <c r="S29" i="11" s="1"/>
  <c r="S27" i="11" s="1"/>
  <c r="A35" i="11"/>
  <c r="A33" i="11" s="1"/>
  <c r="A31" i="11" s="1"/>
  <c r="A29" i="11" s="1"/>
  <c r="A27" i="11" s="1"/>
  <c r="W24" i="11"/>
  <c r="Y24" i="11" s="1"/>
  <c r="AA24" i="11" s="1"/>
  <c r="AC24" i="11" s="1"/>
  <c r="AE24" i="11" s="1"/>
  <c r="E24" i="11"/>
  <c r="G24" i="11" s="1"/>
  <c r="I24" i="11" s="1"/>
  <c r="K24" i="11" s="1"/>
  <c r="M24" i="11" s="1"/>
  <c r="S14" i="11"/>
  <c r="S12" i="11" s="1"/>
  <c r="S10" i="11" s="1"/>
  <c r="S8" i="11" s="1"/>
  <c r="S6" i="11" s="1"/>
  <c r="W3" i="11"/>
  <c r="Y3" i="11" s="1"/>
  <c r="AA3" i="11" s="1"/>
  <c r="AC3" i="11" s="1"/>
  <c r="AE3" i="11" s="1"/>
  <c r="A14" i="11" l="1"/>
  <c r="A12" i="11" s="1"/>
  <c r="A10" i="11" s="1"/>
  <c r="A8" i="11" s="1"/>
  <c r="A6" i="11" l="1"/>
  <c r="E3" i="11"/>
  <c r="G3" i="11" s="1"/>
  <c r="I3" i="11" s="1"/>
  <c r="K3" i="11" s="1"/>
  <c r="M3" i="11" s="1"/>
  <c r="K222" i="9" l="1"/>
  <c r="I211" i="9"/>
  <c r="I206" i="9"/>
  <c r="I168" i="9"/>
  <c r="I163" i="9"/>
  <c r="I125" i="9"/>
  <c r="I120" i="9"/>
  <c r="I202" i="9"/>
  <c r="I199" i="9"/>
  <c r="I195" i="9"/>
  <c r="I192" i="9"/>
  <c r="I188" i="9"/>
  <c r="I185" i="9"/>
  <c r="I181" i="9"/>
  <c r="I178" i="9"/>
  <c r="I159" i="9"/>
  <c r="I156" i="9"/>
  <c r="I152" i="9"/>
  <c r="I149" i="9"/>
  <c r="I145" i="9"/>
  <c r="I142" i="9"/>
  <c r="I138" i="9"/>
  <c r="I135" i="9"/>
  <c r="I116" i="9"/>
  <c r="I113" i="9"/>
  <c r="I109" i="9"/>
  <c r="I106" i="9"/>
  <c r="I102" i="9"/>
  <c r="I99" i="9"/>
  <c r="I95" i="9"/>
  <c r="I92" i="9"/>
  <c r="I82" i="9"/>
  <c r="I77" i="9"/>
  <c r="I73" i="9"/>
  <c r="I70" i="9"/>
  <c r="I66" i="9"/>
  <c r="I63" i="9"/>
  <c r="I59" i="9"/>
  <c r="I56" i="9"/>
  <c r="I52" i="9"/>
  <c r="I49" i="9"/>
  <c r="I39" i="9" l="1"/>
  <c r="I34" i="9"/>
  <c r="I30" i="9"/>
  <c r="I27" i="9"/>
  <c r="I23" i="9"/>
  <c r="I20" i="9"/>
  <c r="I16" i="9"/>
  <c r="I13" i="9"/>
  <c r="I9" i="9"/>
  <c r="I6" i="9"/>
  <c r="H4" i="5" l="1"/>
  <c r="D256" i="9" l="1"/>
  <c r="J256" i="9" s="1"/>
  <c r="D257" i="9"/>
  <c r="J257" i="9" s="1"/>
  <c r="D251" i="9"/>
  <c r="J251" i="9" s="1"/>
  <c r="D252" i="9"/>
  <c r="J252" i="9" s="1"/>
  <c r="D246" i="9"/>
  <c r="J246" i="9" s="1"/>
  <c r="K246" i="9" s="1"/>
  <c r="D243" i="9"/>
  <c r="J243" i="9" s="1"/>
  <c r="K243" i="9" s="1"/>
  <c r="D239" i="9"/>
  <c r="J239" i="9" s="1"/>
  <c r="K239" i="9" s="1"/>
  <c r="D236" i="9"/>
  <c r="J236" i="9" s="1"/>
  <c r="K236" i="9" s="1"/>
  <c r="D232" i="9"/>
  <c r="J232" i="9" s="1"/>
  <c r="K232" i="9" s="1"/>
  <c r="J229" i="9"/>
  <c r="K229" i="9" s="1"/>
  <c r="D225" i="9"/>
  <c r="F232" i="9"/>
  <c r="G232" i="9" s="1"/>
  <c r="K256" i="9" l="1"/>
  <c r="J222" i="9"/>
  <c r="K251" i="9"/>
  <c r="F225" i="9"/>
  <c r="G225" i="9" s="1"/>
  <c r="J225" i="9"/>
  <c r="K225" i="9" s="1"/>
  <c r="F256" i="9"/>
  <c r="F251" i="9"/>
  <c r="C249" i="9"/>
  <c r="F246" i="9"/>
  <c r="G246" i="9" s="1"/>
  <c r="F243" i="9"/>
  <c r="G243" i="9" s="1"/>
  <c r="E211" i="9"/>
  <c r="C209" i="9"/>
  <c r="C207" i="9"/>
  <c r="E206" i="9"/>
  <c r="E202" i="9"/>
  <c r="E199" i="9"/>
  <c r="E195" i="9"/>
  <c r="E192" i="9"/>
  <c r="E188" i="9"/>
  <c r="E185" i="9"/>
  <c r="E181" i="9"/>
  <c r="E178" i="9"/>
  <c r="E168" i="9"/>
  <c r="C166" i="9"/>
  <c r="C164" i="9"/>
  <c r="E163" i="9"/>
  <c r="E159" i="9"/>
  <c r="E156" i="9"/>
  <c r="E152" i="9"/>
  <c r="E149" i="9"/>
  <c r="E145" i="9"/>
  <c r="E142" i="9"/>
  <c r="E138" i="9"/>
  <c r="E135" i="9"/>
  <c r="E125" i="9"/>
  <c r="E120" i="9"/>
  <c r="E116" i="9"/>
  <c r="E113" i="9"/>
  <c r="E109" i="9"/>
  <c r="E106" i="9"/>
  <c r="E102" i="9"/>
  <c r="E99" i="9"/>
  <c r="E95" i="9"/>
  <c r="E92" i="9"/>
  <c r="E56" i="9" l="1"/>
  <c r="E13" i="9" l="1"/>
  <c r="E82" i="9" l="1"/>
  <c r="C80" i="9"/>
  <c r="C78" i="9"/>
  <c r="E77" i="9"/>
  <c r="E73" i="9"/>
  <c r="E70" i="9"/>
  <c r="E66" i="9"/>
  <c r="E63" i="9"/>
  <c r="E59" i="9"/>
  <c r="E52" i="9"/>
  <c r="E49" i="9"/>
  <c r="C37" i="9" l="1"/>
  <c r="C35" i="9"/>
  <c r="E39" i="9"/>
  <c r="E34" i="9"/>
  <c r="E30" i="9"/>
  <c r="E27" i="9"/>
  <c r="E23" i="9"/>
  <c r="E20" i="9"/>
  <c r="E16" i="9"/>
  <c r="E9" i="9"/>
  <c r="E6" i="9"/>
  <c r="K42" i="7" l="1"/>
  <c r="G42" i="7"/>
  <c r="W6" i="9" l="1"/>
  <c r="C56" i="9" s="1"/>
  <c r="W7" i="9"/>
  <c r="W8" i="9"/>
  <c r="W9" i="9"/>
  <c r="W10" i="9"/>
  <c r="W5" i="9"/>
  <c r="C13" i="9" s="1"/>
  <c r="V6" i="9"/>
  <c r="B56" i="9" s="1"/>
  <c r="V7" i="9"/>
  <c r="V8" i="9"/>
  <c r="V9" i="9"/>
  <c r="V10" i="9"/>
  <c r="V5" i="9"/>
  <c r="B13" i="9" s="1"/>
  <c r="D13" i="9" s="1"/>
  <c r="U6" i="9"/>
  <c r="U7" i="9"/>
  <c r="U8" i="9"/>
  <c r="U9" i="9"/>
  <c r="U10" i="9"/>
  <c r="U5" i="9"/>
  <c r="T6" i="9"/>
  <c r="T7" i="9"/>
  <c r="T8" i="9"/>
  <c r="T9" i="9"/>
  <c r="T10" i="9"/>
  <c r="T5" i="9"/>
  <c r="P4" i="7"/>
  <c r="P5" i="7"/>
  <c r="P6" i="7"/>
  <c r="P7" i="7"/>
  <c r="P8" i="7"/>
  <c r="P9" i="7"/>
  <c r="B250" i="9" l="1"/>
  <c r="B255" i="9"/>
  <c r="B238" i="9"/>
  <c r="B221" i="9"/>
  <c r="B235" i="9"/>
  <c r="C255" i="9"/>
  <c r="C238" i="9"/>
  <c r="C221" i="9"/>
  <c r="C235" i="9"/>
  <c r="C250" i="9"/>
  <c r="B220" i="9"/>
  <c r="B227" i="9"/>
  <c r="C220" i="9"/>
  <c r="C227" i="9"/>
  <c r="F13" i="9"/>
  <c r="J13" i="9"/>
  <c r="D56" i="9"/>
  <c r="B159" i="9"/>
  <c r="B145" i="9"/>
  <c r="C156" i="9"/>
  <c r="C142" i="9"/>
  <c r="B168" i="9"/>
  <c r="B138" i="9"/>
  <c r="C163" i="9"/>
  <c r="C135" i="9"/>
  <c r="B152" i="9"/>
  <c r="C149" i="9"/>
  <c r="B122" i="9"/>
  <c r="B107" i="9"/>
  <c r="B93" i="9"/>
  <c r="B127" i="9"/>
  <c r="B110" i="9"/>
  <c r="B96" i="9"/>
  <c r="C172" i="9"/>
  <c r="C167" i="9"/>
  <c r="C154" i="9"/>
  <c r="C151" i="9"/>
  <c r="C140" i="9"/>
  <c r="C137" i="9"/>
  <c r="C213" i="9"/>
  <c r="C196" i="9"/>
  <c r="C182" i="9"/>
  <c r="C224" i="9"/>
  <c r="C208" i="9"/>
  <c r="C179" i="9"/>
  <c r="C193" i="9"/>
  <c r="B113" i="9"/>
  <c r="B99" i="9"/>
  <c r="C109" i="9"/>
  <c r="B106" i="9"/>
  <c r="B120" i="9"/>
  <c r="C116" i="9"/>
  <c r="B92" i="9"/>
  <c r="C125" i="9"/>
  <c r="C102" i="9"/>
  <c r="C95" i="9"/>
  <c r="C170" i="9"/>
  <c r="C153" i="9"/>
  <c r="C139" i="9"/>
  <c r="C129" i="9"/>
  <c r="C111" i="9"/>
  <c r="C97" i="9"/>
  <c r="C165" i="9"/>
  <c r="C150" i="9"/>
  <c r="C136" i="9"/>
  <c r="C124" i="9"/>
  <c r="C108" i="9"/>
  <c r="C94" i="9"/>
  <c r="C244" i="9"/>
  <c r="C230" i="9"/>
  <c r="C211" i="9"/>
  <c r="C181" i="9"/>
  <c r="B185" i="9"/>
  <c r="B248" i="9"/>
  <c r="B234" i="9"/>
  <c r="C202" i="9"/>
  <c r="B206" i="9"/>
  <c r="B178" i="9"/>
  <c r="C223" i="9"/>
  <c r="C195" i="9"/>
  <c r="C188" i="9"/>
  <c r="C253" i="9"/>
  <c r="B199" i="9"/>
  <c r="B241" i="9"/>
  <c r="C237" i="9"/>
  <c r="B192" i="9"/>
  <c r="B125" i="9"/>
  <c r="B109" i="9"/>
  <c r="B95" i="9"/>
  <c r="C120" i="9"/>
  <c r="B102" i="9"/>
  <c r="C92" i="9"/>
  <c r="C99" i="9"/>
  <c r="C113" i="9"/>
  <c r="B116" i="9"/>
  <c r="C106" i="9"/>
  <c r="F252" i="9"/>
  <c r="G251" i="9" s="1"/>
  <c r="F236" i="9"/>
  <c r="G236" i="9" s="1"/>
  <c r="F257" i="9"/>
  <c r="G256" i="9" s="1"/>
  <c r="F239" i="9"/>
  <c r="G239" i="9" s="1"/>
  <c r="B215" i="9"/>
  <c r="B210" i="9"/>
  <c r="B197" i="9"/>
  <c r="B194" i="9"/>
  <c r="B183" i="9"/>
  <c r="B180" i="9"/>
  <c r="B224" i="9"/>
  <c r="B172" i="9"/>
  <c r="B154" i="9"/>
  <c r="B140" i="9"/>
  <c r="D140" i="9" s="1"/>
  <c r="B137" i="9"/>
  <c r="B213" i="9"/>
  <c r="B196" i="9"/>
  <c r="B182" i="9"/>
  <c r="D182" i="9" s="1"/>
  <c r="B167" i="9"/>
  <c r="B151" i="9"/>
  <c r="B208" i="9"/>
  <c r="B193" i="9"/>
  <c r="D193" i="9" s="1"/>
  <c r="B179" i="9"/>
  <c r="D179" i="9" s="1"/>
  <c r="C127" i="9"/>
  <c r="C122" i="9"/>
  <c r="C110" i="9"/>
  <c r="C107" i="9"/>
  <c r="C96" i="9"/>
  <c r="C93" i="9"/>
  <c r="B170" i="9"/>
  <c r="B165" i="9"/>
  <c r="D165" i="9" s="1"/>
  <c r="B153" i="9"/>
  <c r="B150" i="9"/>
  <c r="B139" i="9"/>
  <c r="B136" i="9"/>
  <c r="B129" i="9"/>
  <c r="B124" i="9"/>
  <c r="B111" i="9"/>
  <c r="B108" i="9"/>
  <c r="D108" i="9" s="1"/>
  <c r="B97" i="9"/>
  <c r="B94" i="9"/>
  <c r="C215" i="9"/>
  <c r="C210" i="9"/>
  <c r="C197" i="9"/>
  <c r="C194" i="9"/>
  <c r="C183" i="9"/>
  <c r="C180" i="9"/>
  <c r="B163" i="9"/>
  <c r="D163" i="9" s="1"/>
  <c r="B149" i="9"/>
  <c r="B135" i="9"/>
  <c r="C168" i="9"/>
  <c r="C152" i="9"/>
  <c r="C138" i="9"/>
  <c r="B142" i="9"/>
  <c r="B156" i="9"/>
  <c r="C159" i="9"/>
  <c r="C145" i="9"/>
  <c r="B211" i="9"/>
  <c r="B195" i="9"/>
  <c r="B181" i="9"/>
  <c r="C206" i="9"/>
  <c r="C192" i="9"/>
  <c r="D192" i="9" s="1"/>
  <c r="C248" i="9"/>
  <c r="C241" i="9"/>
  <c r="C234" i="9"/>
  <c r="B202" i="9"/>
  <c r="B188" i="9"/>
  <c r="C178" i="9"/>
  <c r="B253" i="9"/>
  <c r="B244" i="9"/>
  <c r="B237" i="9"/>
  <c r="B230" i="9"/>
  <c r="B223" i="9"/>
  <c r="C199" i="9"/>
  <c r="C185" i="9"/>
  <c r="B41" i="9"/>
  <c r="B43" i="9"/>
  <c r="B36" i="9"/>
  <c r="B84" i="9"/>
  <c r="B64" i="9"/>
  <c r="B50" i="9"/>
  <c r="B67" i="9"/>
  <c r="B79" i="9"/>
  <c r="B53" i="9"/>
  <c r="B38" i="9"/>
  <c r="C82" i="9"/>
  <c r="C66" i="9"/>
  <c r="B77" i="9"/>
  <c r="B63" i="9"/>
  <c r="C73" i="9"/>
  <c r="C59" i="9"/>
  <c r="B70" i="9"/>
  <c r="B49" i="9"/>
  <c r="C52" i="9"/>
  <c r="B51" i="9"/>
  <c r="B86" i="9"/>
  <c r="B81" i="9"/>
  <c r="B68" i="9"/>
  <c r="B65" i="9"/>
  <c r="B54" i="9"/>
  <c r="C86" i="9"/>
  <c r="C81" i="9"/>
  <c r="C68" i="9"/>
  <c r="C65" i="9"/>
  <c r="C54" i="9"/>
  <c r="C51" i="9"/>
  <c r="C36" i="9"/>
  <c r="C41" i="9"/>
  <c r="C43" i="9"/>
  <c r="C38" i="9"/>
  <c r="C84" i="9"/>
  <c r="C79" i="9"/>
  <c r="C67" i="9"/>
  <c r="C64" i="9"/>
  <c r="C53" i="9"/>
  <c r="C50" i="9"/>
  <c r="B52" i="9"/>
  <c r="B73" i="9"/>
  <c r="C63" i="9"/>
  <c r="B82" i="9"/>
  <c r="B66" i="9"/>
  <c r="C70" i="9"/>
  <c r="C49" i="9"/>
  <c r="C77" i="9"/>
  <c r="B59" i="9"/>
  <c r="B24" i="9"/>
  <c r="B21" i="9"/>
  <c r="C21" i="9"/>
  <c r="C24" i="9"/>
  <c r="B9" i="9"/>
  <c r="C34" i="9"/>
  <c r="B39" i="9"/>
  <c r="B23" i="9"/>
  <c r="B30" i="9"/>
  <c r="C27" i="9"/>
  <c r="C20" i="9"/>
  <c r="B27" i="9"/>
  <c r="B20" i="9"/>
  <c r="C39" i="9"/>
  <c r="C23" i="9"/>
  <c r="B34" i="9"/>
  <c r="C30" i="9"/>
  <c r="C9" i="9"/>
  <c r="B22" i="9"/>
  <c r="B25" i="9"/>
  <c r="C25" i="9"/>
  <c r="C22" i="9"/>
  <c r="B6" i="9"/>
  <c r="C16" i="9"/>
  <c r="B16" i="9"/>
  <c r="C6" i="9"/>
  <c r="B11" i="9"/>
  <c r="B8" i="9"/>
  <c r="C10" i="9"/>
  <c r="C7" i="9"/>
  <c r="B10" i="9"/>
  <c r="B7" i="9"/>
  <c r="C11" i="9"/>
  <c r="C8" i="9"/>
  <c r="C43" i="7"/>
  <c r="C37" i="7"/>
  <c r="C36" i="7"/>
  <c r="K35" i="7"/>
  <c r="G35" i="7"/>
  <c r="C30" i="7"/>
  <c r="C29" i="7"/>
  <c r="K28" i="7"/>
  <c r="G28" i="7"/>
  <c r="C23" i="7"/>
  <c r="C22" i="7"/>
  <c r="C16" i="7"/>
  <c r="K21" i="7"/>
  <c r="G21" i="7"/>
  <c r="D223" i="9" l="1"/>
  <c r="D234" i="9"/>
  <c r="F234" i="9" s="1"/>
  <c r="D149" i="9"/>
  <c r="F149" i="9" s="1"/>
  <c r="D221" i="9"/>
  <c r="F221" i="9" s="1"/>
  <c r="G221" i="9" s="1"/>
  <c r="D211" i="9"/>
  <c r="D139" i="9"/>
  <c r="J139" i="9" s="1"/>
  <c r="K139" i="9" s="1"/>
  <c r="D253" i="9"/>
  <c r="J253" i="9" s="1"/>
  <c r="D124" i="9"/>
  <c r="J124" i="9" s="1"/>
  <c r="D208" i="9"/>
  <c r="D196" i="9"/>
  <c r="J196" i="9" s="1"/>
  <c r="K196" i="9" s="1"/>
  <c r="D153" i="9"/>
  <c r="J153" i="9" s="1"/>
  <c r="K153" i="9" s="1"/>
  <c r="D178" i="9"/>
  <c r="J178" i="9" s="1"/>
  <c r="D97" i="9"/>
  <c r="D151" i="9"/>
  <c r="J151" i="9" s="1"/>
  <c r="K151" i="9" s="1"/>
  <c r="D237" i="9"/>
  <c r="J237" i="9" s="1"/>
  <c r="D248" i="9"/>
  <c r="J248" i="9" s="1"/>
  <c r="D156" i="9"/>
  <c r="D227" i="9"/>
  <c r="F227" i="9" s="1"/>
  <c r="D220" i="9"/>
  <c r="F220" i="9" s="1"/>
  <c r="D230" i="9"/>
  <c r="F230" i="9" s="1"/>
  <c r="D188" i="9"/>
  <c r="F188" i="9" s="1"/>
  <c r="D255" i="9"/>
  <c r="J255" i="9" s="1"/>
  <c r="D244" i="9"/>
  <c r="F244" i="9" s="1"/>
  <c r="D102" i="9"/>
  <c r="F102" i="9" s="1"/>
  <c r="D113" i="9"/>
  <c r="D65" i="9"/>
  <c r="J65" i="9" s="1"/>
  <c r="K65" i="9" s="1"/>
  <c r="D79" i="9"/>
  <c r="F79" i="9" s="1"/>
  <c r="D34" i="9"/>
  <c r="F34" i="9" s="1"/>
  <c r="D59" i="9"/>
  <c r="F59" i="9" s="1"/>
  <c r="D66" i="9"/>
  <c r="J66" i="9" s="1"/>
  <c r="D52" i="9"/>
  <c r="J52" i="9" s="1"/>
  <c r="D195" i="9"/>
  <c r="J195" i="9" s="1"/>
  <c r="D154" i="9"/>
  <c r="D224" i="9"/>
  <c r="F224" i="9" s="1"/>
  <c r="G224" i="9" s="1"/>
  <c r="D206" i="9"/>
  <c r="J206" i="9" s="1"/>
  <c r="D51" i="9"/>
  <c r="F51" i="9" s="1"/>
  <c r="G51" i="9" s="1"/>
  <c r="D185" i="9"/>
  <c r="D241" i="9"/>
  <c r="J241" i="9" s="1"/>
  <c r="D111" i="9"/>
  <c r="J111" i="9" s="1"/>
  <c r="K111" i="9" s="1"/>
  <c r="D235" i="9"/>
  <c r="J235" i="9" s="1"/>
  <c r="K235" i="9" s="1"/>
  <c r="D109" i="9"/>
  <c r="F163" i="9"/>
  <c r="J163" i="9"/>
  <c r="F208" i="9"/>
  <c r="J208" i="9"/>
  <c r="F140" i="9"/>
  <c r="G140" i="9" s="1"/>
  <c r="J140" i="9"/>
  <c r="K140" i="9" s="1"/>
  <c r="F223" i="9"/>
  <c r="J223" i="9"/>
  <c r="F192" i="9"/>
  <c r="J192" i="9"/>
  <c r="F156" i="9"/>
  <c r="J156" i="9"/>
  <c r="F97" i="9"/>
  <c r="G97" i="9" s="1"/>
  <c r="J97" i="9"/>
  <c r="K97" i="9" s="1"/>
  <c r="F154" i="9"/>
  <c r="G154" i="9" s="1"/>
  <c r="J154" i="9"/>
  <c r="K154" i="9" s="1"/>
  <c r="D183" i="9"/>
  <c r="F113" i="9"/>
  <c r="J113" i="9"/>
  <c r="D99" i="9"/>
  <c r="D107" i="9"/>
  <c r="F56" i="9"/>
  <c r="J56" i="9"/>
  <c r="F211" i="9"/>
  <c r="J211" i="9"/>
  <c r="F108" i="9"/>
  <c r="G108" i="9" s="1"/>
  <c r="J108" i="9"/>
  <c r="K108" i="9" s="1"/>
  <c r="F165" i="9"/>
  <c r="J165" i="9"/>
  <c r="F179" i="9"/>
  <c r="G179" i="9" s="1"/>
  <c r="J179" i="9"/>
  <c r="K179" i="9" s="1"/>
  <c r="F185" i="9"/>
  <c r="J185" i="9"/>
  <c r="J149" i="9"/>
  <c r="F193" i="9"/>
  <c r="G193" i="9" s="1"/>
  <c r="J193" i="9"/>
  <c r="K193" i="9" s="1"/>
  <c r="F182" i="9"/>
  <c r="G182" i="9" s="1"/>
  <c r="J182" i="9"/>
  <c r="K182" i="9" s="1"/>
  <c r="F109" i="9"/>
  <c r="J109" i="9"/>
  <c r="D125" i="9"/>
  <c r="D197" i="9"/>
  <c r="D129" i="9"/>
  <c r="D96" i="9"/>
  <c r="D82" i="9"/>
  <c r="D142" i="9"/>
  <c r="D135" i="9"/>
  <c r="D167" i="9"/>
  <c r="D137" i="9"/>
  <c r="D238" i="9"/>
  <c r="D194" i="9"/>
  <c r="D95" i="9"/>
  <c r="D120" i="9"/>
  <c r="D172" i="9"/>
  <c r="D110" i="9"/>
  <c r="D122" i="9"/>
  <c r="D84" i="9"/>
  <c r="D250" i="9"/>
  <c r="D106" i="9"/>
  <c r="D127" i="9"/>
  <c r="D138" i="9"/>
  <c r="D145" i="9"/>
  <c r="D49" i="9"/>
  <c r="D199" i="9"/>
  <c r="D202" i="9"/>
  <c r="D181" i="9"/>
  <c r="D215" i="9"/>
  <c r="D94" i="9"/>
  <c r="D150" i="9"/>
  <c r="D180" i="9"/>
  <c r="D210" i="9"/>
  <c r="D116" i="9"/>
  <c r="D136" i="9"/>
  <c r="D170" i="9"/>
  <c r="D92" i="9"/>
  <c r="D213" i="9"/>
  <c r="D93" i="9"/>
  <c r="D152" i="9"/>
  <c r="D168" i="9"/>
  <c r="D159" i="9"/>
  <c r="D73" i="9"/>
  <c r="D54" i="9"/>
  <c r="D86" i="9"/>
  <c r="D39" i="9"/>
  <c r="D68" i="9"/>
  <c r="D67" i="9"/>
  <c r="D36" i="9"/>
  <c r="D81" i="9"/>
  <c r="D63" i="9"/>
  <c r="D38" i="9"/>
  <c r="D50" i="9"/>
  <c r="D43" i="9"/>
  <c r="D70" i="9"/>
  <c r="D77" i="9"/>
  <c r="D53" i="9"/>
  <c r="D64" i="9"/>
  <c r="D41" i="9"/>
  <c r="D27" i="9"/>
  <c r="D23" i="9"/>
  <c r="D25" i="9"/>
  <c r="D10" i="9"/>
  <c r="D11" i="9"/>
  <c r="D20" i="9"/>
  <c r="D9" i="9"/>
  <c r="D22" i="9"/>
  <c r="D21" i="9"/>
  <c r="D7" i="9"/>
  <c r="D30" i="9"/>
  <c r="D24" i="9"/>
  <c r="D16" i="9"/>
  <c r="D8" i="9"/>
  <c r="D6" i="9"/>
  <c r="L44" i="7"/>
  <c r="F139" i="9" l="1"/>
  <c r="G139" i="9" s="1"/>
  <c r="J234" i="9"/>
  <c r="J221" i="9"/>
  <c r="K221" i="9" s="1"/>
  <c r="F237" i="9"/>
  <c r="F253" i="9"/>
  <c r="F153" i="9"/>
  <c r="G153" i="9" s="1"/>
  <c r="F178" i="9"/>
  <c r="J220" i="9"/>
  <c r="F248" i="9"/>
  <c r="F124" i="9"/>
  <c r="J59" i="9"/>
  <c r="F151" i="9"/>
  <c r="G151" i="9" s="1"/>
  <c r="F196" i="9"/>
  <c r="G196" i="9" s="1"/>
  <c r="F255" i="9"/>
  <c r="J230" i="9"/>
  <c r="J227" i="9"/>
  <c r="J188" i="9"/>
  <c r="J244" i="9"/>
  <c r="F65" i="9"/>
  <c r="G65" i="9" s="1"/>
  <c r="F66" i="9"/>
  <c r="J102" i="9"/>
  <c r="F241" i="9"/>
  <c r="J224" i="9"/>
  <c r="K224" i="9" s="1"/>
  <c r="F111" i="9"/>
  <c r="G111" i="9" s="1"/>
  <c r="J79" i="9"/>
  <c r="F52" i="9"/>
  <c r="F206" i="9"/>
  <c r="F195" i="9"/>
  <c r="F235" i="9"/>
  <c r="G235" i="9" s="1"/>
  <c r="J51" i="9"/>
  <c r="K51" i="9" s="1"/>
  <c r="J34" i="9"/>
  <c r="F70" i="9"/>
  <c r="J70" i="9"/>
  <c r="F30" i="9"/>
  <c r="J30" i="9"/>
  <c r="F25" i="9"/>
  <c r="G25" i="9" s="1"/>
  <c r="J25" i="9"/>
  <c r="K25" i="9" s="1"/>
  <c r="F8" i="9"/>
  <c r="G8" i="9" s="1"/>
  <c r="J8" i="9"/>
  <c r="K8" i="9" s="1"/>
  <c r="F7" i="9"/>
  <c r="G7" i="9" s="1"/>
  <c r="J7" i="9"/>
  <c r="K7" i="9" s="1"/>
  <c r="F20" i="9"/>
  <c r="J20" i="9"/>
  <c r="F23" i="9"/>
  <c r="J23" i="9"/>
  <c r="F53" i="9"/>
  <c r="G53" i="9" s="1"/>
  <c r="J53" i="9"/>
  <c r="K53" i="9" s="1"/>
  <c r="F50" i="9"/>
  <c r="G50" i="9" s="1"/>
  <c r="J50" i="9"/>
  <c r="K50" i="9" s="1"/>
  <c r="F39" i="9"/>
  <c r="J39" i="9"/>
  <c r="F159" i="9"/>
  <c r="J159" i="9"/>
  <c r="F213" i="9"/>
  <c r="J213" i="9"/>
  <c r="F116" i="9"/>
  <c r="J116" i="9"/>
  <c r="F94" i="9"/>
  <c r="G94" i="9" s="1"/>
  <c r="J94" i="9"/>
  <c r="K94" i="9" s="1"/>
  <c r="F199" i="9"/>
  <c r="J199" i="9"/>
  <c r="F127" i="9"/>
  <c r="J127" i="9"/>
  <c r="F84" i="9"/>
  <c r="J84" i="9"/>
  <c r="F120" i="9"/>
  <c r="J120" i="9"/>
  <c r="F137" i="9"/>
  <c r="G137" i="9" s="1"/>
  <c r="J137" i="9"/>
  <c r="K137" i="9" s="1"/>
  <c r="F82" i="9"/>
  <c r="J82" i="9"/>
  <c r="F125" i="9"/>
  <c r="J125" i="9"/>
  <c r="F99" i="9"/>
  <c r="J99" i="9"/>
  <c r="F22" i="9"/>
  <c r="G22" i="9" s="1"/>
  <c r="J22" i="9"/>
  <c r="K22" i="9" s="1"/>
  <c r="F16" i="9"/>
  <c r="J16" i="9"/>
  <c r="F21" i="9"/>
  <c r="G21" i="9" s="1"/>
  <c r="J21" i="9"/>
  <c r="K21" i="9" s="1"/>
  <c r="F11" i="9"/>
  <c r="G11" i="9" s="1"/>
  <c r="J11" i="9"/>
  <c r="K11" i="9" s="1"/>
  <c r="F27" i="9"/>
  <c r="J27" i="9"/>
  <c r="F77" i="9"/>
  <c r="J77" i="9"/>
  <c r="F38" i="9"/>
  <c r="J38" i="9"/>
  <c r="F36" i="9"/>
  <c r="J36" i="9"/>
  <c r="F86" i="9"/>
  <c r="J86" i="9"/>
  <c r="F168" i="9"/>
  <c r="J168" i="9"/>
  <c r="F92" i="9"/>
  <c r="J92" i="9"/>
  <c r="F210" i="9"/>
  <c r="J210" i="9"/>
  <c r="F215" i="9"/>
  <c r="J215" i="9"/>
  <c r="F49" i="9"/>
  <c r="J49" i="9"/>
  <c r="F106" i="9"/>
  <c r="J106" i="9"/>
  <c r="F122" i="9"/>
  <c r="J122" i="9"/>
  <c r="F95" i="9"/>
  <c r="J95" i="9"/>
  <c r="F167" i="9"/>
  <c r="J167" i="9"/>
  <c r="F96" i="9"/>
  <c r="G96" i="9" s="1"/>
  <c r="J96" i="9"/>
  <c r="K96" i="9" s="1"/>
  <c r="F24" i="9"/>
  <c r="G24" i="9" s="1"/>
  <c r="J24" i="9"/>
  <c r="K24" i="9" s="1"/>
  <c r="F41" i="9"/>
  <c r="J41" i="9"/>
  <c r="F63" i="9"/>
  <c r="J63" i="9"/>
  <c r="F67" i="9"/>
  <c r="G67" i="9" s="1"/>
  <c r="J67" i="9"/>
  <c r="K67" i="9" s="1"/>
  <c r="F54" i="9"/>
  <c r="G54" i="9" s="1"/>
  <c r="J54" i="9"/>
  <c r="K54" i="9" s="1"/>
  <c r="F152" i="9"/>
  <c r="J152" i="9"/>
  <c r="L152" i="9" s="1"/>
  <c r="F170" i="9"/>
  <c r="J170" i="9"/>
  <c r="F180" i="9"/>
  <c r="G180" i="9" s="1"/>
  <c r="J180" i="9"/>
  <c r="K180" i="9" s="1"/>
  <c r="L178" i="9" s="1"/>
  <c r="L179" i="9" s="1"/>
  <c r="F181" i="9"/>
  <c r="J181" i="9"/>
  <c r="F145" i="9"/>
  <c r="J145" i="9"/>
  <c r="F250" i="9"/>
  <c r="J250" i="9"/>
  <c r="F110" i="9"/>
  <c r="G110" i="9" s="1"/>
  <c r="J110" i="9"/>
  <c r="K110" i="9" s="1"/>
  <c r="L109" i="9" s="1"/>
  <c r="F194" i="9"/>
  <c r="G194" i="9" s="1"/>
  <c r="H192" i="9" s="1"/>
  <c r="J194" i="9"/>
  <c r="K194" i="9" s="1"/>
  <c r="L192" i="9" s="1"/>
  <c r="F135" i="9"/>
  <c r="J135" i="9"/>
  <c r="F129" i="9"/>
  <c r="J129" i="9"/>
  <c r="F10" i="9"/>
  <c r="G10" i="9" s="1"/>
  <c r="J10" i="9"/>
  <c r="K10" i="9" s="1"/>
  <c r="F6" i="9"/>
  <c r="J6" i="9"/>
  <c r="F9" i="9"/>
  <c r="J9" i="9"/>
  <c r="F64" i="9"/>
  <c r="G64" i="9" s="1"/>
  <c r="J64" i="9"/>
  <c r="K64" i="9" s="1"/>
  <c r="F43" i="9"/>
  <c r="J43" i="9"/>
  <c r="F81" i="9"/>
  <c r="J81" i="9"/>
  <c r="F68" i="9"/>
  <c r="G68" i="9" s="1"/>
  <c r="J68" i="9"/>
  <c r="K68" i="9" s="1"/>
  <c r="L66" i="9" s="1"/>
  <c r="F73" i="9"/>
  <c r="J73" i="9"/>
  <c r="F93" i="9"/>
  <c r="G93" i="9" s="1"/>
  <c r="J93" i="9"/>
  <c r="K93" i="9" s="1"/>
  <c r="F136" i="9"/>
  <c r="G136" i="9" s="1"/>
  <c r="J136" i="9"/>
  <c r="K136" i="9" s="1"/>
  <c r="F150" i="9"/>
  <c r="G150" i="9" s="1"/>
  <c r="J150" i="9"/>
  <c r="K150" i="9" s="1"/>
  <c r="L149" i="9" s="1"/>
  <c r="F202" i="9"/>
  <c r="J202" i="9"/>
  <c r="F138" i="9"/>
  <c r="H138" i="9" s="1"/>
  <c r="I52" i="11" s="1"/>
  <c r="J138" i="9"/>
  <c r="L138" i="9" s="1"/>
  <c r="F172" i="9"/>
  <c r="J172" i="9"/>
  <c r="F238" i="9"/>
  <c r="G238" i="9" s="1"/>
  <c r="J238" i="9"/>
  <c r="K238" i="9" s="1"/>
  <c r="F142" i="9"/>
  <c r="J142" i="9"/>
  <c r="F197" i="9"/>
  <c r="G197" i="9" s="1"/>
  <c r="J197" i="9"/>
  <c r="K197" i="9" s="1"/>
  <c r="L195" i="9" s="1"/>
  <c r="L196" i="9" s="1"/>
  <c r="F107" i="9"/>
  <c r="G107" i="9" s="1"/>
  <c r="J107" i="9"/>
  <c r="K107" i="9" s="1"/>
  <c r="F183" i="9"/>
  <c r="G183" i="9" s="1"/>
  <c r="J183" i="9"/>
  <c r="K183" i="9" s="1"/>
  <c r="H44" i="7"/>
  <c r="H178" i="9" l="1"/>
  <c r="H152" i="9"/>
  <c r="H149" i="9"/>
  <c r="C56" i="11" s="1"/>
  <c r="H63" i="9"/>
  <c r="C92" i="11" s="1"/>
  <c r="H109" i="9"/>
  <c r="M73" i="11" s="1"/>
  <c r="I10" i="11"/>
  <c r="L193" i="9"/>
  <c r="W54" i="11"/>
  <c r="AC8" i="11"/>
  <c r="W12" i="11"/>
  <c r="H195" i="9"/>
  <c r="M31" i="11" s="1"/>
  <c r="M33" i="11"/>
  <c r="C29" i="11"/>
  <c r="M27" i="11"/>
  <c r="C35" i="11"/>
  <c r="I27" i="11"/>
  <c r="G35" i="11"/>
  <c r="AE33" i="11"/>
  <c r="W29" i="11"/>
  <c r="AA27" i="11"/>
  <c r="U35" i="11"/>
  <c r="Y29" i="11"/>
  <c r="AC27" i="11"/>
  <c r="AC33" i="11"/>
  <c r="U29" i="11"/>
  <c r="AA33" i="11"/>
  <c r="AE27" i="11"/>
  <c r="Y35" i="11"/>
  <c r="W35" i="11"/>
  <c r="AE12" i="11"/>
  <c r="W8" i="11"/>
  <c r="AA6" i="11"/>
  <c r="U14" i="11"/>
  <c r="Y8" i="11"/>
  <c r="AC6" i="11"/>
  <c r="Y14" i="11"/>
  <c r="U8" i="11"/>
  <c r="AC12" i="11"/>
  <c r="AA12" i="11"/>
  <c r="AE6" i="11"/>
  <c r="W14" i="11"/>
  <c r="W92" i="11"/>
  <c r="AA96" i="11"/>
  <c r="AE90" i="11"/>
  <c r="U92" i="11"/>
  <c r="Y98" i="11"/>
  <c r="Y92" i="11"/>
  <c r="AC96" i="11"/>
  <c r="U98" i="11"/>
  <c r="AC90" i="11"/>
  <c r="AE96" i="11"/>
  <c r="W98" i="11"/>
  <c r="AA90" i="11"/>
  <c r="Y71" i="11"/>
  <c r="W77" i="11"/>
  <c r="AA69" i="11"/>
  <c r="AA75" i="11"/>
  <c r="Y77" i="11"/>
  <c r="AC69" i="11"/>
  <c r="W71" i="11"/>
  <c r="U71" i="11"/>
  <c r="AE75" i="11"/>
  <c r="U77" i="11"/>
  <c r="AC75" i="11"/>
  <c r="AE69" i="11"/>
  <c r="Y33" i="11"/>
  <c r="Y31" i="11"/>
  <c r="AE29" i="11"/>
  <c r="AA31" i="11"/>
  <c r="AE31" i="11"/>
  <c r="W31" i="11"/>
  <c r="AA29" i="11"/>
  <c r="U31" i="11"/>
  <c r="U33" i="11"/>
  <c r="AC54" i="11"/>
  <c r="U50" i="11"/>
  <c r="AE48" i="11"/>
  <c r="AE54" i="11"/>
  <c r="W50" i="11"/>
  <c r="U56" i="11"/>
  <c r="AA54" i="11"/>
  <c r="AC48" i="11"/>
  <c r="Y50" i="11"/>
  <c r="AA48" i="11"/>
  <c r="Y56" i="11"/>
  <c r="W56" i="11"/>
  <c r="H95" i="9"/>
  <c r="I73" i="11" s="1"/>
  <c r="H92" i="9"/>
  <c r="C8" i="11"/>
  <c r="G14" i="11"/>
  <c r="M6" i="11"/>
  <c r="C14" i="11"/>
  <c r="M12" i="11"/>
  <c r="I6" i="11"/>
  <c r="H23" i="9"/>
  <c r="AA10" i="11"/>
  <c r="AE8" i="11"/>
  <c r="Y12" i="11"/>
  <c r="U10" i="11"/>
  <c r="U12" i="11"/>
  <c r="AE10" i="11"/>
  <c r="AA8" i="11"/>
  <c r="W10" i="11"/>
  <c r="Y10" i="11"/>
  <c r="M10" i="11"/>
  <c r="M8" i="11"/>
  <c r="M54" i="11"/>
  <c r="G56" i="11"/>
  <c r="M48" i="11"/>
  <c r="E29" i="11"/>
  <c r="K33" i="11"/>
  <c r="I33" i="11"/>
  <c r="E35" i="11"/>
  <c r="K31" i="11"/>
  <c r="K27" i="11"/>
  <c r="G29" i="11"/>
  <c r="M50" i="11"/>
  <c r="M52" i="11"/>
  <c r="E14" i="11"/>
  <c r="K12" i="11"/>
  <c r="I12" i="11"/>
  <c r="K10" i="11"/>
  <c r="G8" i="11"/>
  <c r="K6" i="11"/>
  <c r="E8" i="11"/>
  <c r="L49" i="9"/>
  <c r="H49" i="9"/>
  <c r="H50" i="9" s="1"/>
  <c r="H9" i="9"/>
  <c r="H52" i="9"/>
  <c r="H20" i="9"/>
  <c r="H135" i="9"/>
  <c r="H6" i="9"/>
  <c r="L181" i="9"/>
  <c r="L182" i="9" s="1"/>
  <c r="H66" i="9"/>
  <c r="L9" i="9"/>
  <c r="L52" i="9"/>
  <c r="L135" i="9"/>
  <c r="L139" i="9" s="1"/>
  <c r="L6" i="9"/>
  <c r="L63" i="9"/>
  <c r="L95" i="9"/>
  <c r="W75" i="11" s="1"/>
  <c r="L106" i="9"/>
  <c r="L92" i="9"/>
  <c r="L20" i="9"/>
  <c r="H181" i="9"/>
  <c r="H106" i="9"/>
  <c r="L23" i="9"/>
  <c r="K14" i="7"/>
  <c r="G14" i="7"/>
  <c r="K7" i="7"/>
  <c r="G7" i="7"/>
  <c r="C50" i="11" l="1"/>
  <c r="I48" i="11"/>
  <c r="M71" i="11"/>
  <c r="G98" i="11"/>
  <c r="M96" i="11"/>
  <c r="I90" i="11"/>
  <c r="M90" i="11"/>
  <c r="C98" i="11"/>
  <c r="M29" i="11"/>
  <c r="L24" i="9"/>
  <c r="H21" i="9"/>
  <c r="L21" i="9"/>
  <c r="L64" i="9"/>
  <c r="W96" i="11"/>
  <c r="L53" i="9"/>
  <c r="I115" i="11"/>
  <c r="H10" i="9"/>
  <c r="L67" i="9"/>
  <c r="L93" i="9"/>
  <c r="W117" i="11"/>
  <c r="L10" i="9"/>
  <c r="L150" i="9"/>
  <c r="L107" i="9"/>
  <c r="L7" i="9"/>
  <c r="H7" i="9"/>
  <c r="I94" i="11"/>
  <c r="H53" i="9"/>
  <c r="H24" i="9"/>
  <c r="L153" i="9"/>
  <c r="L136" i="9"/>
  <c r="L50" i="9"/>
  <c r="AE37" i="11"/>
  <c r="W16" i="11"/>
  <c r="K96" i="11"/>
  <c r="E98" i="11"/>
  <c r="K94" i="11"/>
  <c r="I96" i="11"/>
  <c r="G92" i="11"/>
  <c r="K90" i="11"/>
  <c r="E92" i="11"/>
  <c r="Y113" i="11"/>
  <c r="AC117" i="11"/>
  <c r="U119" i="11"/>
  <c r="W113" i="11"/>
  <c r="AA117" i="11"/>
  <c r="AE111" i="11"/>
  <c r="AE117" i="11"/>
  <c r="W119" i="11"/>
  <c r="AA111" i="11"/>
  <c r="Y119" i="11"/>
  <c r="AC111" i="11"/>
  <c r="U113" i="11"/>
  <c r="I31" i="11"/>
  <c r="Y117" i="11"/>
  <c r="U117" i="11"/>
  <c r="AA115" i="11"/>
  <c r="U115" i="11"/>
  <c r="AA113" i="11"/>
  <c r="W115" i="11"/>
  <c r="AE113" i="11"/>
  <c r="Y115" i="11"/>
  <c r="AE115" i="11"/>
  <c r="K115" i="11"/>
  <c r="G113" i="11"/>
  <c r="E119" i="11"/>
  <c r="E113" i="11"/>
  <c r="K117" i="11"/>
  <c r="I117" i="11"/>
  <c r="K111" i="11"/>
  <c r="O6" i="11"/>
  <c r="Y16" i="11"/>
  <c r="Y37" i="11"/>
  <c r="O27" i="11"/>
  <c r="Y75" i="11"/>
  <c r="W73" i="11"/>
  <c r="W79" i="11" s="1"/>
  <c r="AE71" i="11"/>
  <c r="Y73" i="11"/>
  <c r="AE73" i="11"/>
  <c r="U75" i="11"/>
  <c r="U73" i="11"/>
  <c r="AA71" i="11"/>
  <c r="AA73" i="11"/>
  <c r="W33" i="11"/>
  <c r="W37" i="11" s="1"/>
  <c r="AA50" i="11"/>
  <c r="U52" i="11"/>
  <c r="Y54" i="11"/>
  <c r="U54" i="11"/>
  <c r="Y52" i="11"/>
  <c r="W52" i="11"/>
  <c r="W58" i="11" s="1"/>
  <c r="AA52" i="11"/>
  <c r="AE52" i="11"/>
  <c r="AE50" i="11"/>
  <c r="I54" i="11"/>
  <c r="K48" i="11"/>
  <c r="O48" i="11" s="1"/>
  <c r="E56" i="11"/>
  <c r="O56" i="11" s="1"/>
  <c r="E50" i="11"/>
  <c r="K54" i="11"/>
  <c r="G50" i="11"/>
  <c r="K52" i="11"/>
  <c r="W94" i="11"/>
  <c r="U94" i="11"/>
  <c r="AA94" i="11"/>
  <c r="AE94" i="11"/>
  <c r="Y94" i="11"/>
  <c r="U96" i="11"/>
  <c r="AE92" i="11"/>
  <c r="Y96" i="11"/>
  <c r="AA92" i="11"/>
  <c r="U16" i="11"/>
  <c r="U37" i="11"/>
  <c r="O35" i="11"/>
  <c r="G77" i="11"/>
  <c r="I69" i="11"/>
  <c r="M75" i="11"/>
  <c r="C71" i="11"/>
  <c r="C77" i="11"/>
  <c r="M69" i="11"/>
  <c r="M117" i="11"/>
  <c r="C113" i="11"/>
  <c r="C119" i="11"/>
  <c r="I111" i="11"/>
  <c r="M111" i="11"/>
  <c r="G119" i="11"/>
  <c r="M94" i="11"/>
  <c r="M92" i="11"/>
  <c r="M113" i="11"/>
  <c r="M115" i="11"/>
  <c r="O14" i="11"/>
  <c r="K73" i="11"/>
  <c r="E71" i="11"/>
  <c r="G71" i="11"/>
  <c r="K69" i="11"/>
  <c r="E77" i="11"/>
  <c r="K75" i="11"/>
  <c r="I75" i="11"/>
  <c r="AE16" i="11"/>
  <c r="AA16" i="11"/>
  <c r="AA37" i="11"/>
  <c r="S5" i="7"/>
  <c r="D14" i="7" s="1"/>
  <c r="S6" i="7"/>
  <c r="D21" i="7" s="1"/>
  <c r="S7" i="7"/>
  <c r="D28" i="7" s="1"/>
  <c r="S8" i="7"/>
  <c r="D35" i="7" s="1"/>
  <c r="S9" i="7"/>
  <c r="D42" i="7" s="1"/>
  <c r="S4" i="7"/>
  <c r="D7" i="7" s="1"/>
  <c r="R5" i="7"/>
  <c r="C14" i="7" s="1"/>
  <c r="R6" i="7"/>
  <c r="C21" i="7" s="1"/>
  <c r="R7" i="7"/>
  <c r="C28" i="7" s="1"/>
  <c r="R8" i="7"/>
  <c r="C35" i="7" s="1"/>
  <c r="R9" i="7"/>
  <c r="C42" i="7" s="1"/>
  <c r="R4" i="7"/>
  <c r="C7" i="7" s="1"/>
  <c r="Q5" i="7"/>
  <c r="D15" i="7" s="1"/>
  <c r="Q6" i="7"/>
  <c r="Q7" i="7"/>
  <c r="Q8" i="7"/>
  <c r="Q9" i="7"/>
  <c r="Q4" i="7"/>
  <c r="D8" i="7" s="1"/>
  <c r="C8" i="7"/>
  <c r="O90" i="11" l="1"/>
  <c r="O98" i="11"/>
  <c r="W100" i="11"/>
  <c r="P14" i="11"/>
  <c r="Q14" i="11" s="1"/>
  <c r="W39" i="11"/>
  <c r="W41" i="11" s="1"/>
  <c r="AE39" i="11"/>
  <c r="AE41" i="11" s="1"/>
  <c r="W81" i="11"/>
  <c r="W83" i="11" s="1"/>
  <c r="Y39" i="11"/>
  <c r="Y41" i="11" s="1"/>
  <c r="W18" i="11"/>
  <c r="W20" i="11" s="1"/>
  <c r="AA39" i="11"/>
  <c r="AA41" i="11" s="1"/>
  <c r="P35" i="11"/>
  <c r="Q35" i="11" s="1"/>
  <c r="W60" i="11"/>
  <c r="W62" i="11" s="1"/>
  <c r="Y18" i="11"/>
  <c r="Y20" i="11" s="1"/>
  <c r="AE18" i="11"/>
  <c r="AE20" i="11" s="1"/>
  <c r="AA18" i="11"/>
  <c r="AA20" i="11" s="1"/>
  <c r="P56" i="11"/>
  <c r="Q56" i="11" s="1"/>
  <c r="E28" i="7"/>
  <c r="L28" i="7" s="1"/>
  <c r="Y100" i="11"/>
  <c r="AA100" i="11"/>
  <c r="AA79" i="11"/>
  <c r="U58" i="11"/>
  <c r="U79" i="11"/>
  <c r="AE79" i="11"/>
  <c r="U100" i="11"/>
  <c r="Y58" i="11"/>
  <c r="O111" i="11"/>
  <c r="AE121" i="11"/>
  <c r="AE100" i="11"/>
  <c r="AE58" i="11"/>
  <c r="AA58" i="11"/>
  <c r="Y79" i="11"/>
  <c r="P48" i="11"/>
  <c r="U39" i="11"/>
  <c r="P27" i="11"/>
  <c r="AA121" i="11"/>
  <c r="Y121" i="11"/>
  <c r="P6" i="11"/>
  <c r="U18" i="11"/>
  <c r="O119" i="11"/>
  <c r="U121" i="11"/>
  <c r="W121" i="11"/>
  <c r="O77" i="11"/>
  <c r="O69" i="11"/>
  <c r="D29" i="7"/>
  <c r="E29" i="7" s="1"/>
  <c r="D23" i="7"/>
  <c r="E23" i="7" s="1"/>
  <c r="E21" i="7"/>
  <c r="L21" i="7" s="1"/>
  <c r="E42" i="7"/>
  <c r="H42" i="7" s="1"/>
  <c r="E35" i="7"/>
  <c r="L35" i="7" s="1"/>
  <c r="D22" i="7"/>
  <c r="E22" i="7" s="1"/>
  <c r="D16" i="7"/>
  <c r="E16" i="7" s="1"/>
  <c r="L16" i="7" s="1"/>
  <c r="D36" i="7"/>
  <c r="E36" i="7" s="1"/>
  <c r="D30" i="7"/>
  <c r="E30" i="7" s="1"/>
  <c r="D37" i="7"/>
  <c r="E37" i="7" s="1"/>
  <c r="D43" i="7"/>
  <c r="E43" i="7" s="1"/>
  <c r="H28" i="7"/>
  <c r="D9" i="7"/>
  <c r="E14" i="7"/>
  <c r="L14" i="7" s="1"/>
  <c r="C9" i="7"/>
  <c r="C15" i="7"/>
  <c r="E15" i="7" s="1"/>
  <c r="L15" i="7" s="1"/>
  <c r="E7" i="7"/>
  <c r="E8" i="7"/>
  <c r="P90" i="11" l="1"/>
  <c r="P98" i="11"/>
  <c r="Q98" i="11" s="1"/>
  <c r="U81" i="11"/>
  <c r="U60" i="11"/>
  <c r="H35" i="7"/>
  <c r="W102" i="11"/>
  <c r="W104" i="11" s="1"/>
  <c r="U102" i="11"/>
  <c r="U104" i="11" s="1"/>
  <c r="Y81" i="11"/>
  <c r="Y83" i="11" s="1"/>
  <c r="Y60" i="11"/>
  <c r="Y62" i="11" s="1"/>
  <c r="AA102" i="11"/>
  <c r="AA104" i="11" s="1"/>
  <c r="W123" i="11"/>
  <c r="W125" i="11" s="1"/>
  <c r="AA60" i="11"/>
  <c r="AA62" i="11" s="1"/>
  <c r="Y102" i="11"/>
  <c r="Y104" i="11" s="1"/>
  <c r="AE81" i="11"/>
  <c r="AE83" i="11" s="1"/>
  <c r="P77" i="11"/>
  <c r="Q77" i="11" s="1"/>
  <c r="Y123" i="11"/>
  <c r="Y125" i="11" s="1"/>
  <c r="AE60" i="11"/>
  <c r="AE62" i="11" s="1"/>
  <c r="AE102" i="11"/>
  <c r="AE104" i="11" s="1"/>
  <c r="P119" i="11"/>
  <c r="Q119" i="11" s="1"/>
  <c r="AA123" i="11"/>
  <c r="AA125" i="11" s="1"/>
  <c r="AE123" i="11"/>
  <c r="AE125" i="11" s="1"/>
  <c r="P111" i="11"/>
  <c r="Q111" i="11" s="1"/>
  <c r="AA81" i="11"/>
  <c r="AA83" i="11" s="1"/>
  <c r="H21" i="7"/>
  <c r="E9" i="7"/>
  <c r="H9" i="7" s="1"/>
  <c r="L42" i="7"/>
  <c r="P69" i="11"/>
  <c r="U20" i="11"/>
  <c r="U62" i="11"/>
  <c r="Q27" i="11"/>
  <c r="U41" i="11"/>
  <c r="U83" i="11"/>
  <c r="U123" i="11"/>
  <c r="Q90" i="11"/>
  <c r="Q6" i="11"/>
  <c r="Q48" i="11"/>
  <c r="H23" i="7"/>
  <c r="L23" i="7"/>
  <c r="H29" i="7"/>
  <c r="L29" i="7"/>
  <c r="H14" i="7"/>
  <c r="H22" i="7"/>
  <c r="L22" i="7"/>
  <c r="H30" i="7"/>
  <c r="L30" i="7"/>
  <c r="L36" i="7"/>
  <c r="H36" i="7"/>
  <c r="L43" i="7"/>
  <c r="H43" i="7"/>
  <c r="I42" i="7" s="1"/>
  <c r="C54" i="7" s="1"/>
  <c r="E64" i="7" s="1"/>
  <c r="L37" i="7"/>
  <c r="H37" i="7"/>
  <c r="H16" i="7"/>
  <c r="M14" i="7"/>
  <c r="D50" i="7" s="1"/>
  <c r="E71" i="7" s="1"/>
  <c r="H8" i="7"/>
  <c r="L8" i="7"/>
  <c r="H15" i="7"/>
  <c r="H7" i="7"/>
  <c r="L7" i="7"/>
  <c r="L9" i="7" l="1"/>
  <c r="M7" i="7" s="1"/>
  <c r="D49" i="7" s="1"/>
  <c r="E70" i="7" s="1"/>
  <c r="M21" i="7"/>
  <c r="D51" i="7" s="1"/>
  <c r="E72" i="7" s="1"/>
  <c r="I21" i="7"/>
  <c r="C51" i="7" s="1"/>
  <c r="E61" i="7" s="1"/>
  <c r="M42" i="7"/>
  <c r="D54" i="7" s="1"/>
  <c r="E75" i="7" s="1"/>
  <c r="I28" i="7"/>
  <c r="C52" i="7" s="1"/>
  <c r="E62" i="7" s="1"/>
  <c r="U125" i="11"/>
  <c r="Q69" i="11"/>
  <c r="M35" i="7"/>
  <c r="D53" i="7" s="1"/>
  <c r="E74" i="7" s="1"/>
  <c r="M28" i="7"/>
  <c r="D52" i="7" s="1"/>
  <c r="E73" i="7" s="1"/>
  <c r="I14" i="7"/>
  <c r="C50" i="7" s="1"/>
  <c r="E60" i="7" s="1"/>
  <c r="I7" i="7"/>
  <c r="C49" i="7" s="1"/>
  <c r="E59" i="7" s="1"/>
  <c r="I35" i="7"/>
  <c r="C53" i="7" s="1"/>
  <c r="E63" i="7" s="1"/>
  <c r="T5" i="8"/>
  <c r="H14" i="8"/>
  <c r="H13" i="8"/>
  <c r="M3" i="8"/>
  <c r="K2" i="8"/>
  <c r="K3" i="8" s="1"/>
  <c r="T9" i="8" l="1"/>
  <c r="C228" i="9" s="1"/>
  <c r="D228" i="9" s="1"/>
  <c r="F228" i="9" s="1"/>
  <c r="G228" i="9" s="1"/>
  <c r="H16" i="8"/>
  <c r="H6" i="8"/>
  <c r="H7" i="8"/>
  <c r="G38" i="8" l="1"/>
  <c r="H38" i="8" s="1"/>
  <c r="G39" i="8"/>
  <c r="H39" i="8" s="1"/>
  <c r="C254" i="9"/>
  <c r="D254" i="9" s="1"/>
  <c r="C242" i="9"/>
  <c r="D242" i="9" s="1"/>
  <c r="C212" i="9"/>
  <c r="D212" i="9" s="1"/>
  <c r="C203" i="9"/>
  <c r="D203" i="9" s="1"/>
  <c r="C200" i="9"/>
  <c r="D200" i="9" s="1"/>
  <c r="C189" i="9"/>
  <c r="D189" i="9" s="1"/>
  <c r="C186" i="9"/>
  <c r="D186" i="9" s="1"/>
  <c r="C169" i="9"/>
  <c r="D169" i="9" s="1"/>
  <c r="C160" i="9"/>
  <c r="D160" i="9" s="1"/>
  <c r="C157" i="9"/>
  <c r="D157" i="9" s="1"/>
  <c r="C146" i="9"/>
  <c r="D146" i="9" s="1"/>
  <c r="C143" i="9"/>
  <c r="D143" i="9" s="1"/>
  <c r="C128" i="9"/>
  <c r="D128" i="9" s="1"/>
  <c r="C117" i="9"/>
  <c r="D117" i="9" s="1"/>
  <c r="C114" i="9"/>
  <c r="D114" i="9" s="1"/>
  <c r="D103" i="9"/>
  <c r="D100" i="9"/>
  <c r="C85" i="9"/>
  <c r="D85" i="9" s="1"/>
  <c r="D74" i="9"/>
  <c r="D71" i="9"/>
  <c r="D60" i="9"/>
  <c r="D57" i="9"/>
  <c r="D42" i="9"/>
  <c r="D31" i="9"/>
  <c r="D28" i="9"/>
  <c r="D17" i="9"/>
  <c r="D14" i="9"/>
  <c r="C245" i="9"/>
  <c r="D245" i="9" s="1"/>
  <c r="C231" i="9"/>
  <c r="D231" i="9" s="1"/>
  <c r="C214" i="9"/>
  <c r="D214" i="9" s="1"/>
  <c r="C204" i="9"/>
  <c r="D204" i="9" s="1"/>
  <c r="C201" i="9"/>
  <c r="D201" i="9" s="1"/>
  <c r="C190" i="9"/>
  <c r="D190" i="9" s="1"/>
  <c r="C187" i="9"/>
  <c r="D187" i="9" s="1"/>
  <c r="C171" i="9"/>
  <c r="D171" i="9" s="1"/>
  <c r="C161" i="9"/>
  <c r="D161" i="9" s="1"/>
  <c r="C158" i="9"/>
  <c r="D158" i="9" s="1"/>
  <c r="C147" i="9"/>
  <c r="D147" i="9" s="1"/>
  <c r="C144" i="9"/>
  <c r="D144" i="9" s="1"/>
  <c r="C126" i="9"/>
  <c r="D126" i="9" s="1"/>
  <c r="C118" i="9"/>
  <c r="D118" i="9" s="1"/>
  <c r="C115" i="9"/>
  <c r="D115" i="9" s="1"/>
  <c r="D104" i="9"/>
  <c r="D101" i="9"/>
  <c r="C83" i="9"/>
  <c r="D83" i="9" s="1"/>
  <c r="D75" i="9"/>
  <c r="D72" i="9"/>
  <c r="D61" i="9"/>
  <c r="D58" i="9"/>
  <c r="D40" i="9"/>
  <c r="D32" i="9"/>
  <c r="D29" i="9"/>
  <c r="D18" i="9"/>
  <c r="D15" i="9"/>
  <c r="V9" i="8"/>
  <c r="V5" i="8"/>
  <c r="H9" i="8"/>
  <c r="H23" i="8"/>
  <c r="H22" i="8"/>
  <c r="R5" i="8" l="1"/>
  <c r="S5" i="8" s="1"/>
  <c r="R13" i="8"/>
  <c r="S13" i="8" s="1"/>
  <c r="C19" i="1" s="1"/>
  <c r="R9" i="8"/>
  <c r="S9" i="8" s="1"/>
  <c r="C18" i="1" s="1"/>
  <c r="H43" i="8"/>
  <c r="C16" i="1" s="1"/>
  <c r="C17" i="1"/>
  <c r="F32" i="9"/>
  <c r="G32" i="9" s="1"/>
  <c r="J32" i="9"/>
  <c r="K32" i="9" s="1"/>
  <c r="F72" i="9"/>
  <c r="G72" i="9" s="1"/>
  <c r="J72" i="9"/>
  <c r="K72" i="9" s="1"/>
  <c r="J104" i="9"/>
  <c r="K104" i="9" s="1"/>
  <c r="F104" i="9"/>
  <c r="G104" i="9" s="1"/>
  <c r="F144" i="9"/>
  <c r="G144" i="9" s="1"/>
  <c r="J144" i="9"/>
  <c r="K144" i="9" s="1"/>
  <c r="J171" i="9"/>
  <c r="K171" i="9" s="1"/>
  <c r="F171" i="9"/>
  <c r="G171" i="9" s="1"/>
  <c r="J204" i="9"/>
  <c r="K204" i="9" s="1"/>
  <c r="F204" i="9"/>
  <c r="G204" i="9" s="1"/>
  <c r="F14" i="9"/>
  <c r="G14" i="9" s="1"/>
  <c r="J14" i="9"/>
  <c r="K14" i="9" s="1"/>
  <c r="F42" i="9"/>
  <c r="G42" i="9" s="1"/>
  <c r="J42" i="9"/>
  <c r="K42" i="9" s="1"/>
  <c r="F74" i="9"/>
  <c r="G74" i="9" s="1"/>
  <c r="J74" i="9"/>
  <c r="K74" i="9" s="1"/>
  <c r="F114" i="9"/>
  <c r="G114" i="9" s="1"/>
  <c r="J114" i="9"/>
  <c r="K114" i="9" s="1"/>
  <c r="F146" i="9"/>
  <c r="G146" i="9" s="1"/>
  <c r="J146" i="9"/>
  <c r="K146" i="9" s="1"/>
  <c r="F186" i="9"/>
  <c r="G186" i="9" s="1"/>
  <c r="J186" i="9"/>
  <c r="K186" i="9" s="1"/>
  <c r="J212" i="9"/>
  <c r="K212" i="9" s="1"/>
  <c r="F212" i="9"/>
  <c r="G212" i="9" s="1"/>
  <c r="F15" i="9"/>
  <c r="G15" i="9" s="1"/>
  <c r="J15" i="9"/>
  <c r="K15" i="9" s="1"/>
  <c r="J40" i="9"/>
  <c r="K40" i="9" s="1"/>
  <c r="F40" i="9"/>
  <c r="G40" i="9" s="1"/>
  <c r="F75" i="9"/>
  <c r="G75" i="9" s="1"/>
  <c r="J75" i="9"/>
  <c r="K75" i="9" s="1"/>
  <c r="F115" i="9"/>
  <c r="G115" i="9" s="1"/>
  <c r="J115" i="9"/>
  <c r="K115" i="9" s="1"/>
  <c r="F147" i="9"/>
  <c r="G147" i="9" s="1"/>
  <c r="J147" i="9"/>
  <c r="K147" i="9" s="1"/>
  <c r="F187" i="9"/>
  <c r="G187" i="9" s="1"/>
  <c r="J187" i="9"/>
  <c r="K187" i="9" s="1"/>
  <c r="J214" i="9"/>
  <c r="K214" i="9" s="1"/>
  <c r="F214" i="9"/>
  <c r="G214" i="9" s="1"/>
  <c r="J17" i="9"/>
  <c r="K17" i="9" s="1"/>
  <c r="F17" i="9"/>
  <c r="G17" i="9" s="1"/>
  <c r="J57" i="9"/>
  <c r="K57" i="9" s="1"/>
  <c r="F57" i="9"/>
  <c r="G57" i="9" s="1"/>
  <c r="F85" i="9"/>
  <c r="G85" i="9" s="1"/>
  <c r="J85" i="9"/>
  <c r="K85" i="9" s="1"/>
  <c r="F117" i="9"/>
  <c r="G117" i="9" s="1"/>
  <c r="J117" i="9"/>
  <c r="K117" i="9" s="1"/>
  <c r="F157" i="9"/>
  <c r="G157" i="9" s="1"/>
  <c r="J157" i="9"/>
  <c r="K157" i="9" s="1"/>
  <c r="J189" i="9"/>
  <c r="K189" i="9" s="1"/>
  <c r="F189" i="9"/>
  <c r="G189" i="9" s="1"/>
  <c r="J228" i="9"/>
  <c r="K228" i="9" s="1"/>
  <c r="J18" i="9"/>
  <c r="K18" i="9" s="1"/>
  <c r="F18" i="9"/>
  <c r="G18" i="9" s="1"/>
  <c r="J58" i="9"/>
  <c r="K58" i="9" s="1"/>
  <c r="F58" i="9"/>
  <c r="G58" i="9" s="1"/>
  <c r="F83" i="9"/>
  <c r="G83" i="9" s="1"/>
  <c r="J83" i="9"/>
  <c r="K83" i="9" s="1"/>
  <c r="F118" i="9"/>
  <c r="G118" i="9" s="1"/>
  <c r="J118" i="9"/>
  <c r="K118" i="9" s="1"/>
  <c r="F158" i="9"/>
  <c r="G158" i="9" s="1"/>
  <c r="J158" i="9"/>
  <c r="K158" i="9" s="1"/>
  <c r="F190" i="9"/>
  <c r="G190" i="9" s="1"/>
  <c r="J190" i="9"/>
  <c r="K190" i="9" s="1"/>
  <c r="F231" i="9"/>
  <c r="G231" i="9" s="1"/>
  <c r="E10" i="11" s="1"/>
  <c r="J231" i="9"/>
  <c r="K231" i="9" s="1"/>
  <c r="F28" i="9"/>
  <c r="G28" i="9" s="1"/>
  <c r="J28" i="9"/>
  <c r="K28" i="9" s="1"/>
  <c r="J60" i="9"/>
  <c r="K60" i="9" s="1"/>
  <c r="F60" i="9"/>
  <c r="G60" i="9" s="1"/>
  <c r="F100" i="9"/>
  <c r="G100" i="9" s="1"/>
  <c r="J100" i="9"/>
  <c r="K100" i="9" s="1"/>
  <c r="F128" i="9"/>
  <c r="G128" i="9" s="1"/>
  <c r="J128" i="9"/>
  <c r="K128" i="9" s="1"/>
  <c r="F160" i="9"/>
  <c r="G160" i="9" s="1"/>
  <c r="J160" i="9"/>
  <c r="K160" i="9" s="1"/>
  <c r="F200" i="9"/>
  <c r="G200" i="9" s="1"/>
  <c r="J200" i="9"/>
  <c r="K200" i="9" s="1"/>
  <c r="F242" i="9"/>
  <c r="G242" i="9" s="1"/>
  <c r="J242" i="9"/>
  <c r="K242" i="9" s="1"/>
  <c r="F29" i="9"/>
  <c r="G29" i="9" s="1"/>
  <c r="J29" i="9"/>
  <c r="K29" i="9" s="1"/>
  <c r="F61" i="9"/>
  <c r="G61" i="9" s="1"/>
  <c r="J61" i="9"/>
  <c r="K61" i="9" s="1"/>
  <c r="F101" i="9"/>
  <c r="G101" i="9" s="1"/>
  <c r="J101" i="9"/>
  <c r="K101" i="9" s="1"/>
  <c r="F126" i="9"/>
  <c r="G126" i="9" s="1"/>
  <c r="J126" i="9"/>
  <c r="K126" i="9" s="1"/>
  <c r="J161" i="9"/>
  <c r="K161" i="9" s="1"/>
  <c r="F161" i="9"/>
  <c r="G161" i="9" s="1"/>
  <c r="F201" i="9"/>
  <c r="G201" i="9" s="1"/>
  <c r="J201" i="9"/>
  <c r="K201" i="9" s="1"/>
  <c r="F245" i="9"/>
  <c r="G245" i="9" s="1"/>
  <c r="J245" i="9"/>
  <c r="K245" i="9" s="1"/>
  <c r="J31" i="9"/>
  <c r="K31" i="9" s="1"/>
  <c r="F31" i="9"/>
  <c r="G31" i="9" s="1"/>
  <c r="H30" i="9" s="1"/>
  <c r="J71" i="9"/>
  <c r="K71" i="9" s="1"/>
  <c r="F71" i="9"/>
  <c r="G71" i="9" s="1"/>
  <c r="H70" i="9" s="1"/>
  <c r="F103" i="9"/>
  <c r="G103" i="9" s="1"/>
  <c r="J103" i="9"/>
  <c r="K103" i="9" s="1"/>
  <c r="L102" i="9" s="1"/>
  <c r="F143" i="9"/>
  <c r="G143" i="9" s="1"/>
  <c r="J143" i="9"/>
  <c r="K143" i="9" s="1"/>
  <c r="F169" i="9"/>
  <c r="G169" i="9" s="1"/>
  <c r="J169" i="9"/>
  <c r="K169" i="9" s="1"/>
  <c r="L168" i="9" s="1"/>
  <c r="J203" i="9"/>
  <c r="K203" i="9" s="1"/>
  <c r="F203" i="9"/>
  <c r="G203" i="9" s="1"/>
  <c r="F254" i="9"/>
  <c r="G254" i="9" s="1"/>
  <c r="J254" i="9"/>
  <c r="K254" i="9" s="1"/>
  <c r="W9" i="8"/>
  <c r="X9" i="8" s="1"/>
  <c r="C21" i="1" s="1"/>
  <c r="W5" i="8"/>
  <c r="X5" i="8" s="1"/>
  <c r="C20" i="1" s="1"/>
  <c r="C10" i="1"/>
  <c r="H25" i="8"/>
  <c r="C14" i="1" s="1"/>
  <c r="AM164" i="23" l="1"/>
  <c r="AP164" i="23" s="1"/>
  <c r="AM52" i="23"/>
  <c r="AP52" i="23" s="1"/>
  <c r="AM175" i="23"/>
  <c r="AP175" i="23" s="1"/>
  <c r="AE154" i="23"/>
  <c r="AH154" i="23" s="1"/>
  <c r="AM144" i="23"/>
  <c r="AP144" i="23" s="1"/>
  <c r="AE164" i="23"/>
  <c r="AH164" i="23" s="1"/>
  <c r="AE52" i="23"/>
  <c r="AH52" i="23" s="1"/>
  <c r="AE135" i="23"/>
  <c r="AH135" i="23" s="1"/>
  <c r="AE144" i="23"/>
  <c r="AH144" i="23" s="1"/>
  <c r="AM154" i="23"/>
  <c r="AP154" i="23" s="1"/>
  <c r="AE175" i="23"/>
  <c r="AH175" i="23" s="1"/>
  <c r="AM135" i="23"/>
  <c r="AP135" i="23" s="1"/>
  <c r="AE124" i="23"/>
  <c r="AH124" i="23" s="1"/>
  <c r="AM113" i="23"/>
  <c r="AP113" i="23" s="1"/>
  <c r="AE94" i="23"/>
  <c r="AH94" i="23" s="1"/>
  <c r="AM83" i="23"/>
  <c r="AP83" i="23" s="1"/>
  <c r="AE83" i="23"/>
  <c r="AH83" i="23" s="1"/>
  <c r="AE113" i="23"/>
  <c r="AH113" i="23" s="1"/>
  <c r="AM94" i="23"/>
  <c r="AP94" i="23" s="1"/>
  <c r="AM93" i="23"/>
  <c r="AP93" i="23" s="1"/>
  <c r="AE63" i="23"/>
  <c r="AH63" i="23" s="1"/>
  <c r="AE93" i="23"/>
  <c r="AH93" i="23" s="1"/>
  <c r="AM73" i="23"/>
  <c r="AP73" i="23" s="1"/>
  <c r="AM124" i="23"/>
  <c r="AP124" i="23" s="1"/>
  <c r="AE73" i="23"/>
  <c r="AH73" i="23" s="1"/>
  <c r="AM63" i="23"/>
  <c r="AP63" i="23" s="1"/>
  <c r="AE153" i="23"/>
  <c r="AH153" i="23" s="1"/>
  <c r="O153" i="23"/>
  <c r="R153" i="23" s="1"/>
  <c r="AE143" i="23"/>
  <c r="AH143" i="23" s="1"/>
  <c r="O143" i="23"/>
  <c r="R143" i="23" s="1"/>
  <c r="AM51" i="23"/>
  <c r="AP51" i="23" s="1"/>
  <c r="W51" i="23"/>
  <c r="Z51" i="23" s="1"/>
  <c r="AM153" i="23"/>
  <c r="AP153" i="23" s="1"/>
  <c r="W153" i="23"/>
  <c r="Z153" i="23" s="1"/>
  <c r="AM143" i="23"/>
  <c r="AP143" i="23" s="1"/>
  <c r="W143" i="23"/>
  <c r="Z143" i="23" s="1"/>
  <c r="AE51" i="23"/>
  <c r="AH51" i="23" s="1"/>
  <c r="O51" i="23"/>
  <c r="R51" i="23" s="1"/>
  <c r="AM91" i="23"/>
  <c r="AP91" i="23" s="1"/>
  <c r="W91" i="23"/>
  <c r="Z91" i="23" s="1"/>
  <c r="AE91" i="23"/>
  <c r="AH91" i="23" s="1"/>
  <c r="O91" i="23"/>
  <c r="R91" i="23" s="1"/>
  <c r="AM81" i="23"/>
  <c r="AP81" i="23" s="1"/>
  <c r="W81" i="23"/>
  <c r="Z81" i="23" s="1"/>
  <c r="AE81" i="23"/>
  <c r="AH81" i="23" s="1"/>
  <c r="O81" i="23"/>
  <c r="R81" i="23" s="1"/>
  <c r="W40" i="23"/>
  <c r="O40" i="23"/>
  <c r="AE40" i="23"/>
  <c r="AU154" i="23"/>
  <c r="AX154" i="23" s="1"/>
  <c r="AU175" i="23"/>
  <c r="AX175" i="23" s="1"/>
  <c r="AU135" i="23"/>
  <c r="AX135" i="23" s="1"/>
  <c r="AU52" i="23"/>
  <c r="AX52" i="23" s="1"/>
  <c r="AU144" i="23"/>
  <c r="AX144" i="23" s="1"/>
  <c r="AU164" i="23"/>
  <c r="AX164" i="23" s="1"/>
  <c r="AU94" i="23"/>
  <c r="AX94" i="23" s="1"/>
  <c r="AU93" i="23"/>
  <c r="AX93" i="23" s="1"/>
  <c r="AU113" i="23"/>
  <c r="AX113" i="23" s="1"/>
  <c r="AU83" i="23"/>
  <c r="AX83" i="23" s="1"/>
  <c r="AU73" i="23"/>
  <c r="AX73" i="23" s="1"/>
  <c r="AU63" i="23"/>
  <c r="AX63" i="23" s="1"/>
  <c r="AU124" i="23"/>
  <c r="AX124" i="23" s="1"/>
  <c r="AM152" i="23"/>
  <c r="AP152" i="23" s="1"/>
  <c r="W152" i="23"/>
  <c r="Z152" i="23" s="1"/>
  <c r="G152" i="23"/>
  <c r="J152" i="23" s="1"/>
  <c r="AM163" i="23"/>
  <c r="AP163" i="23" s="1"/>
  <c r="W163" i="23"/>
  <c r="Z163" i="23" s="1"/>
  <c r="G163" i="23"/>
  <c r="J163" i="23" s="1"/>
  <c r="AU152" i="23"/>
  <c r="AX152" i="23" s="1"/>
  <c r="AE152" i="23"/>
  <c r="AH152" i="23" s="1"/>
  <c r="O152" i="23"/>
  <c r="R152" i="23" s="1"/>
  <c r="AU163" i="23"/>
  <c r="AX163" i="23" s="1"/>
  <c r="AE163" i="23"/>
  <c r="AH163" i="23" s="1"/>
  <c r="O163" i="23"/>
  <c r="R163" i="23" s="1"/>
  <c r="AM112" i="23"/>
  <c r="AP112" i="23" s="1"/>
  <c r="W112" i="23"/>
  <c r="Z112" i="23" s="1"/>
  <c r="AU112" i="23"/>
  <c r="AX112" i="23" s="1"/>
  <c r="O112" i="23"/>
  <c r="R112" i="23" s="1"/>
  <c r="W123" i="23"/>
  <c r="Z123" i="23" s="1"/>
  <c r="AU123" i="23"/>
  <c r="AX123" i="23" s="1"/>
  <c r="AE123" i="23"/>
  <c r="AH123" i="23" s="1"/>
  <c r="O123" i="23"/>
  <c r="R123" i="23" s="1"/>
  <c r="G112" i="23"/>
  <c r="J112" i="23" s="1"/>
  <c r="AE112" i="23"/>
  <c r="AH112" i="23" s="1"/>
  <c r="AM123" i="23"/>
  <c r="AP123" i="23" s="1"/>
  <c r="G123" i="23"/>
  <c r="J123" i="23" s="1"/>
  <c r="AM176" i="23"/>
  <c r="AP176" i="23" s="1"/>
  <c r="G176" i="23"/>
  <c r="J176" i="23" s="1"/>
  <c r="W165" i="23"/>
  <c r="Z165" i="23" s="1"/>
  <c r="AM145" i="23"/>
  <c r="AP145" i="23" s="1"/>
  <c r="G145" i="23"/>
  <c r="J145" i="23" s="1"/>
  <c r="W53" i="23"/>
  <c r="Z53" i="23" s="1"/>
  <c r="AE176" i="23"/>
  <c r="AH176" i="23" s="1"/>
  <c r="W176" i="23"/>
  <c r="Z176" i="23" s="1"/>
  <c r="AM165" i="23"/>
  <c r="AP165" i="23" s="1"/>
  <c r="G165" i="23"/>
  <c r="J165" i="23" s="1"/>
  <c r="W145" i="23"/>
  <c r="Z145" i="23" s="1"/>
  <c r="AM53" i="23"/>
  <c r="AP53" i="23" s="1"/>
  <c r="G53" i="23"/>
  <c r="J53" i="23" s="1"/>
  <c r="AU165" i="23"/>
  <c r="AX165" i="23" s="1"/>
  <c r="AE145" i="23"/>
  <c r="AH145" i="23" s="1"/>
  <c r="AU53" i="23"/>
  <c r="AX53" i="23" s="1"/>
  <c r="AU136" i="23"/>
  <c r="AX136" i="23" s="1"/>
  <c r="O136" i="23"/>
  <c r="R136" i="23" s="1"/>
  <c r="O165" i="23"/>
  <c r="R165" i="23" s="1"/>
  <c r="O53" i="23"/>
  <c r="R53" i="23" s="1"/>
  <c r="W136" i="23"/>
  <c r="Z136" i="23" s="1"/>
  <c r="AU176" i="23"/>
  <c r="AX176" i="23" s="1"/>
  <c r="AE165" i="23"/>
  <c r="AH165" i="23" s="1"/>
  <c r="O145" i="23"/>
  <c r="R145" i="23" s="1"/>
  <c r="AE53" i="23"/>
  <c r="AH53" i="23" s="1"/>
  <c r="AM136" i="23"/>
  <c r="AP136" i="23" s="1"/>
  <c r="G136" i="23"/>
  <c r="J136" i="23" s="1"/>
  <c r="O176" i="23"/>
  <c r="R176" i="23" s="1"/>
  <c r="AE136" i="23"/>
  <c r="AH136" i="23" s="1"/>
  <c r="AU145" i="23"/>
  <c r="AX145" i="23" s="1"/>
  <c r="AE125" i="23"/>
  <c r="AH125" i="23" s="1"/>
  <c r="AM114" i="23"/>
  <c r="AP114" i="23" s="1"/>
  <c r="O114" i="23"/>
  <c r="R114" i="23" s="1"/>
  <c r="AU64" i="23"/>
  <c r="AX64" i="23" s="1"/>
  <c r="AE64" i="23"/>
  <c r="AH64" i="23" s="1"/>
  <c r="AU125" i="23"/>
  <c r="AX125" i="23" s="1"/>
  <c r="AM64" i="23"/>
  <c r="AP64" i="23" s="1"/>
  <c r="G64" i="23"/>
  <c r="J64" i="23" s="1"/>
  <c r="AM125" i="23"/>
  <c r="AP125" i="23" s="1"/>
  <c r="W125" i="23"/>
  <c r="Z125" i="23" s="1"/>
  <c r="AU114" i="23"/>
  <c r="AX114" i="23" s="1"/>
  <c r="O64" i="23"/>
  <c r="R64" i="23" s="1"/>
  <c r="O125" i="23"/>
  <c r="R125" i="23" s="1"/>
  <c r="AE114" i="23"/>
  <c r="AH114" i="23" s="1"/>
  <c r="W64" i="23"/>
  <c r="Z64" i="23" s="1"/>
  <c r="G125" i="23"/>
  <c r="J125" i="23" s="1"/>
  <c r="W114" i="23"/>
  <c r="Z114" i="23" s="1"/>
  <c r="G114" i="23"/>
  <c r="J114" i="23" s="1"/>
  <c r="AU174" i="23"/>
  <c r="AE174" i="23"/>
  <c r="O174" i="23"/>
  <c r="AU173" i="23"/>
  <c r="AE173" i="23"/>
  <c r="O173" i="23"/>
  <c r="AU172" i="23"/>
  <c r="AE172" i="23"/>
  <c r="O172" i="23"/>
  <c r="AU171" i="23"/>
  <c r="AE171" i="23"/>
  <c r="O171" i="23"/>
  <c r="AM162" i="23"/>
  <c r="W162" i="23"/>
  <c r="G162" i="23"/>
  <c r="AM161" i="23"/>
  <c r="W161" i="23"/>
  <c r="G161" i="23"/>
  <c r="AM142" i="23"/>
  <c r="W142" i="23"/>
  <c r="G142" i="23"/>
  <c r="AM141" i="23"/>
  <c r="W141" i="23"/>
  <c r="G141" i="23"/>
  <c r="AM50" i="23"/>
  <c r="W50" i="23"/>
  <c r="G50" i="23"/>
  <c r="AM49" i="23"/>
  <c r="AM174" i="23"/>
  <c r="W174" i="23"/>
  <c r="G174" i="23"/>
  <c r="AM173" i="23"/>
  <c r="W173" i="23"/>
  <c r="G173" i="23"/>
  <c r="AM172" i="23"/>
  <c r="W172" i="23"/>
  <c r="G172" i="23"/>
  <c r="AM171" i="23"/>
  <c r="W171" i="23"/>
  <c r="G171" i="23"/>
  <c r="AU162" i="23"/>
  <c r="AE162" i="23"/>
  <c r="O162" i="23"/>
  <c r="AU161" i="23"/>
  <c r="AE161" i="23"/>
  <c r="O161" i="23"/>
  <c r="AU142" i="23"/>
  <c r="AE142" i="23"/>
  <c r="O142" i="23"/>
  <c r="AU141" i="23"/>
  <c r="AE141" i="23"/>
  <c r="O141" i="23"/>
  <c r="AU50" i="23"/>
  <c r="AE50" i="23"/>
  <c r="O50" i="23"/>
  <c r="AU49" i="23"/>
  <c r="AM151" i="23"/>
  <c r="W151" i="23"/>
  <c r="G151" i="23"/>
  <c r="AU151" i="23"/>
  <c r="AE151" i="23"/>
  <c r="W134" i="23"/>
  <c r="AM133" i="23"/>
  <c r="G133" i="23"/>
  <c r="W132" i="23"/>
  <c r="AM131" i="23"/>
  <c r="G131" i="23"/>
  <c r="W49" i="23"/>
  <c r="G49" i="23"/>
  <c r="AU134" i="23"/>
  <c r="AE134" i="23"/>
  <c r="O134" i="23"/>
  <c r="AU133" i="23"/>
  <c r="AE133" i="23"/>
  <c r="O133" i="23"/>
  <c r="AU132" i="23"/>
  <c r="AE132" i="23"/>
  <c r="O132" i="23"/>
  <c r="AU131" i="23"/>
  <c r="AE131" i="23"/>
  <c r="O131" i="23"/>
  <c r="O151" i="23"/>
  <c r="AE49" i="23"/>
  <c r="O49" i="23"/>
  <c r="AM134" i="23"/>
  <c r="G134" i="23"/>
  <c r="W133" i="23"/>
  <c r="AM132" i="23"/>
  <c r="G132" i="23"/>
  <c r="W131" i="23"/>
  <c r="AM111" i="23"/>
  <c r="W111" i="23"/>
  <c r="G111" i="23"/>
  <c r="AM110" i="23"/>
  <c r="W110" i="23"/>
  <c r="G110" i="23"/>
  <c r="AM109" i="23"/>
  <c r="W109" i="23"/>
  <c r="G109" i="23"/>
  <c r="AM99" i="23"/>
  <c r="W99" i="23"/>
  <c r="G99" i="23"/>
  <c r="AE111" i="23"/>
  <c r="AU110" i="23"/>
  <c r="O110" i="23"/>
  <c r="AE109" i="23"/>
  <c r="AM122" i="23"/>
  <c r="G122" i="23"/>
  <c r="W121" i="23"/>
  <c r="AM120" i="23"/>
  <c r="G120" i="23"/>
  <c r="G90" i="23"/>
  <c r="AU122" i="23"/>
  <c r="AE122" i="23"/>
  <c r="O122" i="23"/>
  <c r="AU121" i="23"/>
  <c r="AE121" i="23"/>
  <c r="O121" i="23"/>
  <c r="AU120" i="23"/>
  <c r="AE120" i="23"/>
  <c r="O120" i="23"/>
  <c r="AU111" i="23"/>
  <c r="O111" i="23"/>
  <c r="AE110" i="23"/>
  <c r="AU109" i="23"/>
  <c r="O109" i="23"/>
  <c r="AU99" i="23"/>
  <c r="AE99" i="23"/>
  <c r="O99" i="23"/>
  <c r="O89" i="23"/>
  <c r="W122" i="23"/>
  <c r="AM121" i="23"/>
  <c r="G121" i="23"/>
  <c r="W120" i="23"/>
  <c r="AE79" i="23"/>
  <c r="AE89" i="23"/>
  <c r="AM89" i="23"/>
  <c r="O79" i="23"/>
  <c r="AM80" i="23"/>
  <c r="W79" i="23"/>
  <c r="W89" i="23"/>
  <c r="G89" i="23"/>
  <c r="AU89" i="23"/>
  <c r="AM79" i="23"/>
  <c r="AU80" i="23"/>
  <c r="O90" i="23"/>
  <c r="W90" i="23"/>
  <c r="O80" i="23"/>
  <c r="AU79" i="23"/>
  <c r="AE80" i="23"/>
  <c r="AM90" i="23"/>
  <c r="AU90" i="23"/>
  <c r="AE90" i="23"/>
  <c r="W80" i="23"/>
  <c r="AE71" i="23"/>
  <c r="AE69" i="23"/>
  <c r="W71" i="23"/>
  <c r="W69" i="23"/>
  <c r="AU61" i="23"/>
  <c r="AU59" i="23"/>
  <c r="AE62" i="23"/>
  <c r="AE60" i="23"/>
  <c r="O61" i="23"/>
  <c r="O59" i="23"/>
  <c r="G61" i="23"/>
  <c r="G59" i="23"/>
  <c r="AE70" i="23"/>
  <c r="W70" i="23"/>
  <c r="AU62" i="23"/>
  <c r="AE59" i="23"/>
  <c r="O62" i="23"/>
  <c r="G62" i="23"/>
  <c r="AM61" i="23"/>
  <c r="W60" i="23"/>
  <c r="AU71" i="23"/>
  <c r="AU69" i="23"/>
  <c r="AM71" i="23"/>
  <c r="AM69" i="23"/>
  <c r="O71" i="23"/>
  <c r="O69" i="23"/>
  <c r="G71" i="23"/>
  <c r="G69" i="23"/>
  <c r="AM62" i="23"/>
  <c r="AM60" i="23"/>
  <c r="W61" i="23"/>
  <c r="W59" i="23"/>
  <c r="AU60" i="23"/>
  <c r="AE61" i="23"/>
  <c r="O60" i="23"/>
  <c r="G60" i="23"/>
  <c r="AU70" i="23"/>
  <c r="AM70" i="23"/>
  <c r="O70" i="23"/>
  <c r="G70" i="23"/>
  <c r="AM59" i="23"/>
  <c r="W62" i="23"/>
  <c r="G79" i="23"/>
  <c r="G80" i="23"/>
  <c r="W39" i="23"/>
  <c r="O39" i="23"/>
  <c r="AU39" i="23"/>
  <c r="AE39" i="23"/>
  <c r="AM39" i="23"/>
  <c r="H102" i="9"/>
  <c r="E73" i="11" s="1"/>
  <c r="L30" i="9"/>
  <c r="L31" i="9" s="1"/>
  <c r="W175" i="23"/>
  <c r="Z175" i="23" s="1"/>
  <c r="O154" i="23"/>
  <c r="R154" i="23" s="1"/>
  <c r="G164" i="23"/>
  <c r="J164" i="23" s="1"/>
  <c r="W144" i="23"/>
  <c r="Z144" i="23" s="1"/>
  <c r="G52" i="23"/>
  <c r="J52" i="23" s="1"/>
  <c r="O175" i="23"/>
  <c r="R175" i="23" s="1"/>
  <c r="G175" i="23"/>
  <c r="J175" i="23" s="1"/>
  <c r="W164" i="23"/>
  <c r="Z164" i="23" s="1"/>
  <c r="G144" i="23"/>
  <c r="J144" i="23" s="1"/>
  <c r="W52" i="23"/>
  <c r="Z52" i="23" s="1"/>
  <c r="G154" i="23"/>
  <c r="J154" i="23" s="1"/>
  <c r="O144" i="23"/>
  <c r="R144" i="23" s="1"/>
  <c r="G135" i="23"/>
  <c r="J135" i="23" s="1"/>
  <c r="O164" i="23"/>
  <c r="R164" i="23" s="1"/>
  <c r="O52" i="23"/>
  <c r="R52" i="23" s="1"/>
  <c r="W135" i="23"/>
  <c r="Z135" i="23" s="1"/>
  <c r="O135" i="23"/>
  <c r="R135" i="23" s="1"/>
  <c r="W154" i="23"/>
  <c r="Z154" i="23" s="1"/>
  <c r="E81" i="18"/>
  <c r="H81" i="18" s="1"/>
  <c r="E54" i="18"/>
  <c r="H54" i="18" s="1"/>
  <c r="O93" i="23"/>
  <c r="R93" i="23" s="1"/>
  <c r="W83" i="23"/>
  <c r="Z83" i="23" s="1"/>
  <c r="O83" i="23"/>
  <c r="R83" i="23" s="1"/>
  <c r="G94" i="23"/>
  <c r="J94" i="23" s="1"/>
  <c r="O63" i="23"/>
  <c r="R63" i="23" s="1"/>
  <c r="E70" i="18"/>
  <c r="O124" i="23"/>
  <c r="R124" i="23" s="1"/>
  <c r="O103" i="23"/>
  <c r="E85" i="18"/>
  <c r="H85" i="18" s="1"/>
  <c r="G124" i="23"/>
  <c r="J124" i="23" s="1"/>
  <c r="W94" i="23"/>
  <c r="Z94" i="23" s="1"/>
  <c r="O94" i="23"/>
  <c r="R94" i="23" s="1"/>
  <c r="G73" i="23"/>
  <c r="J73" i="23" s="1"/>
  <c r="W63" i="23"/>
  <c r="Z63" i="23" s="1"/>
  <c r="W73" i="23"/>
  <c r="Z73" i="23" s="1"/>
  <c r="E100" i="18"/>
  <c r="E75" i="18"/>
  <c r="H75" i="18" s="1"/>
  <c r="E43" i="18"/>
  <c r="W124" i="23"/>
  <c r="Z124" i="23" s="1"/>
  <c r="O113" i="23"/>
  <c r="R113" i="23" s="1"/>
  <c r="O73" i="23"/>
  <c r="R73" i="23" s="1"/>
  <c r="G93" i="23"/>
  <c r="J93" i="23" s="1"/>
  <c r="E94" i="18"/>
  <c r="H94" i="18" s="1"/>
  <c r="W113" i="23"/>
  <c r="Z113" i="23" s="1"/>
  <c r="G113" i="23"/>
  <c r="J113" i="23" s="1"/>
  <c r="G83" i="23"/>
  <c r="J83" i="23" s="1"/>
  <c r="E59" i="18"/>
  <c r="W93" i="23"/>
  <c r="Z93" i="23" s="1"/>
  <c r="G103" i="23"/>
  <c r="J103" i="23" s="1"/>
  <c r="G63" i="23"/>
  <c r="G33" i="23"/>
  <c r="E179" i="18"/>
  <c r="E157" i="18"/>
  <c r="H157" i="18" s="1"/>
  <c r="E133" i="18"/>
  <c r="E110" i="18"/>
  <c r="E145" i="18"/>
  <c r="G43" i="23"/>
  <c r="E190" i="18"/>
  <c r="E139" i="18"/>
  <c r="H139" i="18" s="1"/>
  <c r="E115" i="18"/>
  <c r="E174" i="18"/>
  <c r="H174" i="18" s="1"/>
  <c r="E149" i="18"/>
  <c r="E128" i="18"/>
  <c r="H128" i="18" s="1"/>
  <c r="E195" i="18"/>
  <c r="H195" i="18" s="1"/>
  <c r="E166" i="18"/>
  <c r="H166" i="18" s="1"/>
  <c r="E123" i="18"/>
  <c r="E161" i="18"/>
  <c r="L142" i="9"/>
  <c r="L143" i="9" s="1"/>
  <c r="L202" i="9"/>
  <c r="L203" i="9" s="1"/>
  <c r="H202" i="9"/>
  <c r="C31" i="11" s="1"/>
  <c r="AU103" i="23"/>
  <c r="AM103" i="23"/>
  <c r="AE103" i="23"/>
  <c r="G39" i="23"/>
  <c r="W103" i="23"/>
  <c r="L39" i="9"/>
  <c r="AC115" i="11" s="1"/>
  <c r="H168" i="9"/>
  <c r="K50" i="11" s="1"/>
  <c r="H39" i="9"/>
  <c r="I113" i="11" s="1"/>
  <c r="L125" i="9"/>
  <c r="AC73" i="11" s="1"/>
  <c r="Q162" i="18"/>
  <c r="T162" i="18" s="1"/>
  <c r="W162" i="18"/>
  <c r="Z162" i="18" s="1"/>
  <c r="Q71" i="18"/>
  <c r="T71" i="18" s="1"/>
  <c r="O33" i="23"/>
  <c r="O43" i="23"/>
  <c r="W43" i="23"/>
  <c r="W33" i="23"/>
  <c r="AE30" i="23"/>
  <c r="AM40" i="23"/>
  <c r="O30" i="23"/>
  <c r="AM30" i="23"/>
  <c r="W30" i="23"/>
  <c r="AM29" i="23"/>
  <c r="AE29" i="23"/>
  <c r="AU29" i="23"/>
  <c r="W29" i="23"/>
  <c r="O29" i="23"/>
  <c r="W194" i="18"/>
  <c r="K114" i="18"/>
  <c r="Q194" i="18"/>
  <c r="Q114" i="18"/>
  <c r="K194" i="18"/>
  <c r="G29" i="23"/>
  <c r="W114" i="18"/>
  <c r="AU43" i="23"/>
  <c r="AU33" i="23"/>
  <c r="AM33" i="23"/>
  <c r="AE33" i="23"/>
  <c r="AE43" i="23"/>
  <c r="AM43" i="23"/>
  <c r="H142" i="9"/>
  <c r="E54" i="11" s="1"/>
  <c r="E71" i="18"/>
  <c r="H71" i="18" s="1"/>
  <c r="E150" i="18"/>
  <c r="H150" i="18" s="1"/>
  <c r="K86" i="18"/>
  <c r="N86" i="18" s="1"/>
  <c r="Q86" i="18"/>
  <c r="T86" i="18" s="1"/>
  <c r="Q150" i="18"/>
  <c r="T150" i="18" s="1"/>
  <c r="E162" i="18"/>
  <c r="H162" i="18" s="1"/>
  <c r="K162" i="18"/>
  <c r="N162" i="18" s="1"/>
  <c r="E86" i="18"/>
  <c r="H86" i="18" s="1"/>
  <c r="K71" i="18"/>
  <c r="N71" i="18" s="1"/>
  <c r="K150" i="18"/>
  <c r="N150" i="18" s="1"/>
  <c r="W71" i="18"/>
  <c r="Z71" i="18" s="1"/>
  <c r="W86" i="18"/>
  <c r="Z86" i="18" s="1"/>
  <c r="W150" i="18"/>
  <c r="Z150" i="18" s="1"/>
  <c r="H59" i="9"/>
  <c r="E94" i="11" s="1"/>
  <c r="H16" i="9"/>
  <c r="H17" i="9" s="1"/>
  <c r="H211" i="9"/>
  <c r="G31" i="11" s="1"/>
  <c r="L145" i="9"/>
  <c r="L146" i="9" s="1"/>
  <c r="Q100" i="18"/>
  <c r="T100" i="18" s="1"/>
  <c r="Q179" i="18"/>
  <c r="Q128" i="18"/>
  <c r="T128" i="18" s="1"/>
  <c r="H156" i="9"/>
  <c r="L16" i="9"/>
  <c r="L17" i="9" s="1"/>
  <c r="L211" i="9"/>
  <c r="AC31" i="11" s="1"/>
  <c r="W100" i="18"/>
  <c r="Z100" i="18" s="1"/>
  <c r="Z103" i="18" s="1"/>
  <c r="P15" i="18" s="1"/>
  <c r="W179" i="18"/>
  <c r="W128" i="18"/>
  <c r="Z128" i="18" s="1"/>
  <c r="H100" i="18"/>
  <c r="K126" i="18"/>
  <c r="K178" i="18"/>
  <c r="K177" i="18"/>
  <c r="E127" i="18"/>
  <c r="Q126" i="18"/>
  <c r="Q127" i="18"/>
  <c r="E126" i="18"/>
  <c r="Q178" i="18"/>
  <c r="E178" i="18"/>
  <c r="Q177" i="18"/>
  <c r="E177" i="18"/>
  <c r="K127" i="18"/>
  <c r="H125" i="9"/>
  <c r="G75" i="11" s="1"/>
  <c r="H159" i="9"/>
  <c r="C52" i="11" s="1"/>
  <c r="H99" i="9"/>
  <c r="E75" i="11" s="1"/>
  <c r="H27" i="9"/>
  <c r="H28" i="9" s="1"/>
  <c r="K100" i="18"/>
  <c r="N100" i="18" s="1"/>
  <c r="K128" i="18"/>
  <c r="N128" i="18" s="1"/>
  <c r="K179" i="18"/>
  <c r="L70" i="9"/>
  <c r="L71" i="9" s="1"/>
  <c r="L156" i="9"/>
  <c r="L157" i="9" s="1"/>
  <c r="E99" i="18"/>
  <c r="Q109" i="18"/>
  <c r="E109" i="18"/>
  <c r="K109" i="18"/>
  <c r="K101" i="18"/>
  <c r="N101" i="18" s="1"/>
  <c r="Q101" i="18"/>
  <c r="T101" i="18" s="1"/>
  <c r="L99" i="9"/>
  <c r="L100" i="9" s="1"/>
  <c r="L27" i="9"/>
  <c r="L28" i="9" s="1"/>
  <c r="L73" i="9"/>
  <c r="L74" i="9" s="1"/>
  <c r="H145" i="9"/>
  <c r="E52" i="11" s="1"/>
  <c r="L188" i="9"/>
  <c r="L189" i="9" s="1"/>
  <c r="L13" i="9"/>
  <c r="L14" i="9" s="1"/>
  <c r="H73" i="9"/>
  <c r="C96" i="11" s="1"/>
  <c r="C33" i="11"/>
  <c r="L199" i="9"/>
  <c r="L200" i="9" s="1"/>
  <c r="L82" i="9"/>
  <c r="H188" i="9"/>
  <c r="E31" i="11" s="1"/>
  <c r="L116" i="9"/>
  <c r="L117" i="9" s="1"/>
  <c r="H56" i="9"/>
  <c r="L185" i="9"/>
  <c r="L186" i="9" s="1"/>
  <c r="L113" i="9"/>
  <c r="L114" i="9" s="1"/>
  <c r="C10" i="11"/>
  <c r="C12" i="11"/>
  <c r="H199" i="9"/>
  <c r="H82" i="9"/>
  <c r="H116" i="9"/>
  <c r="L56" i="9"/>
  <c r="L57" i="9" s="1"/>
  <c r="H185" i="9"/>
  <c r="H113" i="9"/>
  <c r="G10" i="11"/>
  <c r="K8" i="11"/>
  <c r="I8" i="11"/>
  <c r="G12" i="11"/>
  <c r="AC10" i="11"/>
  <c r="AC16" i="11" s="1"/>
  <c r="AC52" i="11"/>
  <c r="L169" i="9"/>
  <c r="L103" i="9"/>
  <c r="C115" i="11"/>
  <c r="C117" i="11"/>
  <c r="H31" i="9"/>
  <c r="L59" i="9"/>
  <c r="L159" i="9"/>
  <c r="L160" i="9" s="1"/>
  <c r="E12" i="11"/>
  <c r="H13" i="9"/>
  <c r="K196" i="18"/>
  <c r="N196" i="18" s="1"/>
  <c r="K116" i="18"/>
  <c r="N116" i="18" s="1"/>
  <c r="Q196" i="18"/>
  <c r="T196" i="18" s="1"/>
  <c r="Q116" i="18"/>
  <c r="T116" i="18" s="1"/>
  <c r="K82" i="18"/>
  <c r="N82" i="18" s="1"/>
  <c r="Q82" i="18"/>
  <c r="T82" i="18" s="1"/>
  <c r="K55" i="18"/>
  <c r="N55" i="18" s="1"/>
  <c r="Q55" i="18"/>
  <c r="T55" i="18" s="1"/>
  <c r="Q184" i="18"/>
  <c r="T184" i="18" s="1"/>
  <c r="E184" i="18"/>
  <c r="H184" i="18" s="1"/>
  <c r="W184" i="18"/>
  <c r="Z184" i="18" s="1"/>
  <c r="K184" i="18"/>
  <c r="N184" i="18" s="1"/>
  <c r="Q133" i="18"/>
  <c r="T133" i="18" s="1"/>
  <c r="Q149" i="18"/>
  <c r="T149" i="18" s="1"/>
  <c r="Q123" i="18"/>
  <c r="T123" i="18" s="1"/>
  <c r="Q161" i="18"/>
  <c r="T161" i="18" s="1"/>
  <c r="Q157" i="18"/>
  <c r="T157" i="18" s="1"/>
  <c r="Q190" i="18"/>
  <c r="T190" i="18" s="1"/>
  <c r="Q174" i="18"/>
  <c r="T174" i="18" s="1"/>
  <c r="Q166" i="18"/>
  <c r="T166" i="18" s="1"/>
  <c r="Q139" i="18"/>
  <c r="T139" i="18" s="1"/>
  <c r="Q195" i="18"/>
  <c r="T195" i="18" s="1"/>
  <c r="Q145" i="18"/>
  <c r="T145" i="18" s="1"/>
  <c r="Q115" i="18"/>
  <c r="T115" i="18" s="1"/>
  <c r="Q110" i="18"/>
  <c r="T110" i="18" s="1"/>
  <c r="Q94" i="18"/>
  <c r="T94" i="18" s="1"/>
  <c r="Q81" i="18"/>
  <c r="T81" i="18" s="1"/>
  <c r="Q75" i="18"/>
  <c r="T75" i="18" s="1"/>
  <c r="Q85" i="18"/>
  <c r="T85" i="18" s="1"/>
  <c r="Q70" i="18"/>
  <c r="T70" i="18" s="1"/>
  <c r="Q59" i="18"/>
  <c r="T59" i="18" s="1"/>
  <c r="Q54" i="18"/>
  <c r="T54" i="18" s="1"/>
  <c r="H161" i="18"/>
  <c r="H133" i="18"/>
  <c r="H190" i="18"/>
  <c r="H145" i="18"/>
  <c r="H149" i="18"/>
  <c r="H123" i="18"/>
  <c r="H115" i="18"/>
  <c r="H110" i="18"/>
  <c r="H43" i="18"/>
  <c r="H70" i="18"/>
  <c r="H59" i="18"/>
  <c r="Q156" i="18"/>
  <c r="Q132" i="18"/>
  <c r="K148" i="18"/>
  <c r="Q173" i="18"/>
  <c r="K121" i="18"/>
  <c r="K172" i="18"/>
  <c r="E160" i="18"/>
  <c r="E143" i="18"/>
  <c r="E121" i="18"/>
  <c r="K156" i="18"/>
  <c r="Q148" i="18"/>
  <c r="Q183" i="18"/>
  <c r="E172" i="18"/>
  <c r="E114" i="18"/>
  <c r="K93" i="18"/>
  <c r="E89" i="18"/>
  <c r="Q74" i="18"/>
  <c r="K58" i="18"/>
  <c r="Q58" i="18"/>
  <c r="E156" i="18"/>
  <c r="E132" i="18"/>
  <c r="Q122" i="18"/>
  <c r="Q172" i="18"/>
  <c r="K183" i="18"/>
  <c r="Q165" i="18"/>
  <c r="Q144" i="18"/>
  <c r="Q138" i="18"/>
  <c r="K155" i="18"/>
  <c r="E148" i="18"/>
  <c r="Q182" i="18"/>
  <c r="K160" i="18"/>
  <c r="K89" i="18"/>
  <c r="E74" i="18"/>
  <c r="E58" i="18"/>
  <c r="E65" i="18"/>
  <c r="Q189" i="18"/>
  <c r="Q155" i="18"/>
  <c r="Q131" i="18"/>
  <c r="E122" i="18"/>
  <c r="K165" i="18"/>
  <c r="K182" i="18"/>
  <c r="E165" i="18"/>
  <c r="E144" i="18"/>
  <c r="E138" i="18"/>
  <c r="E194" i="18"/>
  <c r="K132" i="18"/>
  <c r="K122" i="18"/>
  <c r="E182" i="18"/>
  <c r="K144" i="18"/>
  <c r="Q93" i="18"/>
  <c r="E80" i="18"/>
  <c r="E53" i="18"/>
  <c r="E69" i="18"/>
  <c r="K65" i="18"/>
  <c r="E189" i="18"/>
  <c r="E155" i="18"/>
  <c r="E131" i="18"/>
  <c r="E183" i="18"/>
  <c r="K143" i="18"/>
  <c r="K173" i="18"/>
  <c r="Q160" i="18"/>
  <c r="Q143" i="18"/>
  <c r="Q121" i="18"/>
  <c r="K189" i="18"/>
  <c r="K131" i="18"/>
  <c r="E173" i="18"/>
  <c r="K138" i="18"/>
  <c r="E93" i="18"/>
  <c r="Q89" i="18"/>
  <c r="K74" i="18"/>
  <c r="Q69" i="18"/>
  <c r="K69" i="18"/>
  <c r="Q65" i="18"/>
  <c r="K195" i="18"/>
  <c r="N195" i="18" s="1"/>
  <c r="K190" i="18"/>
  <c r="N190" i="18" s="1"/>
  <c r="K145" i="18"/>
  <c r="N145" i="18" s="1"/>
  <c r="K174" i="18"/>
  <c r="N174" i="18" s="1"/>
  <c r="K166" i="18"/>
  <c r="N166" i="18" s="1"/>
  <c r="K139" i="18"/>
  <c r="N139" i="18" s="1"/>
  <c r="K157" i="18"/>
  <c r="N157" i="18" s="1"/>
  <c r="K133" i="18"/>
  <c r="N133" i="18" s="1"/>
  <c r="K149" i="18"/>
  <c r="N149" i="18" s="1"/>
  <c r="K123" i="18"/>
  <c r="N123" i="18" s="1"/>
  <c r="K161" i="18"/>
  <c r="N161" i="18" s="1"/>
  <c r="K115" i="18"/>
  <c r="N115" i="18" s="1"/>
  <c r="K94" i="18"/>
  <c r="N94" i="18" s="1"/>
  <c r="K110" i="18"/>
  <c r="N110" i="18" s="1"/>
  <c r="K85" i="18"/>
  <c r="N85" i="18" s="1"/>
  <c r="K81" i="18"/>
  <c r="N81" i="18" s="1"/>
  <c r="K75" i="18"/>
  <c r="N75" i="18" s="1"/>
  <c r="K70" i="18"/>
  <c r="N70" i="18" s="1"/>
  <c r="K59" i="18"/>
  <c r="N59" i="18" s="1"/>
  <c r="K54" i="18"/>
  <c r="N54" i="18" s="1"/>
  <c r="W174" i="18"/>
  <c r="Z174" i="18" s="1"/>
  <c r="W166" i="18"/>
  <c r="Z166" i="18" s="1"/>
  <c r="W139" i="18"/>
  <c r="Z139" i="18" s="1"/>
  <c r="W195" i="18"/>
  <c r="Z195" i="18" s="1"/>
  <c r="W190" i="18"/>
  <c r="Z190" i="18" s="1"/>
  <c r="W145" i="18"/>
  <c r="Z145" i="18" s="1"/>
  <c r="W149" i="18"/>
  <c r="Z149" i="18" s="1"/>
  <c r="W161" i="18"/>
  <c r="Z161" i="18" s="1"/>
  <c r="W157" i="18"/>
  <c r="Z157" i="18" s="1"/>
  <c r="W133" i="18"/>
  <c r="Z133" i="18" s="1"/>
  <c r="W123" i="18"/>
  <c r="Z123" i="18" s="1"/>
  <c r="W115" i="18"/>
  <c r="Z115" i="18" s="1"/>
  <c r="W94" i="18"/>
  <c r="Z94" i="18" s="1"/>
  <c r="W110" i="18"/>
  <c r="Z110" i="18" s="1"/>
  <c r="W81" i="18"/>
  <c r="Z81" i="18" s="1"/>
  <c r="Z84" i="18" s="1"/>
  <c r="P11" i="18" s="1"/>
  <c r="W75" i="18"/>
  <c r="Z75" i="18" s="1"/>
  <c r="W85" i="18"/>
  <c r="Z85" i="18" s="1"/>
  <c r="W59" i="18"/>
  <c r="Z59" i="18" s="1"/>
  <c r="W54" i="18"/>
  <c r="Z54" i="18" s="1"/>
  <c r="Z57" i="18" s="1"/>
  <c r="P6" i="18" s="1"/>
  <c r="W70" i="18"/>
  <c r="Z70" i="18" s="1"/>
  <c r="Q90" i="18"/>
  <c r="T90" i="18" s="1"/>
  <c r="K90" i="18"/>
  <c r="N90" i="18" s="1"/>
  <c r="E90" i="18"/>
  <c r="H90" i="18" s="1"/>
  <c r="W90" i="18"/>
  <c r="Z90" i="18" s="1"/>
  <c r="Q66" i="18"/>
  <c r="T66" i="18" s="1"/>
  <c r="K66" i="18"/>
  <c r="N66" i="18" s="1"/>
  <c r="E66" i="18"/>
  <c r="H66" i="18" s="1"/>
  <c r="W66" i="18"/>
  <c r="Z66" i="18" s="1"/>
  <c r="Q50" i="18"/>
  <c r="T50" i="18" s="1"/>
  <c r="E50" i="18"/>
  <c r="H50" i="18" s="1"/>
  <c r="K50" i="18"/>
  <c r="N50" i="18" s="1"/>
  <c r="H21" i="1"/>
  <c r="W50" i="18"/>
  <c r="Z50" i="18" s="1"/>
  <c r="E49" i="18"/>
  <c r="Q49" i="18"/>
  <c r="K49" i="18"/>
  <c r="K43" i="18"/>
  <c r="W43" i="18"/>
  <c r="Z43" i="18" s="1"/>
  <c r="E42" i="18"/>
  <c r="Q43" i="18"/>
  <c r="T43" i="18" s="1"/>
  <c r="Q44" i="18"/>
  <c r="H19" i="1"/>
  <c r="P12" i="22" s="1"/>
  <c r="H18" i="1"/>
  <c r="K44" i="18"/>
  <c r="H5" i="4"/>
  <c r="G52" i="11" l="1"/>
  <c r="I50" i="11"/>
  <c r="O50" i="11" s="1"/>
  <c r="G54" i="11"/>
  <c r="H152" i="18"/>
  <c r="F24" i="18" s="1"/>
  <c r="N57" i="18"/>
  <c r="L40" i="9"/>
  <c r="I29" i="11"/>
  <c r="E115" i="11"/>
  <c r="C94" i="11"/>
  <c r="H40" i="9"/>
  <c r="L212" i="9"/>
  <c r="C54" i="11"/>
  <c r="L126" i="9"/>
  <c r="AH103" i="23"/>
  <c r="AP103" i="23"/>
  <c r="N152" i="18"/>
  <c r="G117" i="11"/>
  <c r="T103" i="18"/>
  <c r="Z103" i="23"/>
  <c r="R103" i="23"/>
  <c r="AX103" i="23"/>
  <c r="K113" i="11"/>
  <c r="O113" i="11" s="1"/>
  <c r="G115" i="11"/>
  <c r="K29" i="11"/>
  <c r="G33" i="11"/>
  <c r="G73" i="11"/>
  <c r="T152" i="18"/>
  <c r="J43" i="23"/>
  <c r="AX43" i="23"/>
  <c r="AP40" i="23"/>
  <c r="Z152" i="18"/>
  <c r="P24" i="18" s="1"/>
  <c r="J33" i="23"/>
  <c r="AH43" i="23"/>
  <c r="Z30" i="23"/>
  <c r="Z43" i="23"/>
  <c r="R33" i="23"/>
  <c r="Z40" i="23"/>
  <c r="AP43" i="23"/>
  <c r="AX33" i="23"/>
  <c r="AP30" i="23"/>
  <c r="R40" i="23"/>
  <c r="AP33" i="23"/>
  <c r="Z33" i="23"/>
  <c r="J63" i="23"/>
  <c r="AH33" i="23"/>
  <c r="R30" i="23"/>
  <c r="AH40" i="23"/>
  <c r="AH30" i="23"/>
  <c r="R43" i="23"/>
  <c r="K71" i="11"/>
  <c r="I71" i="11"/>
  <c r="N103" i="18"/>
  <c r="T179" i="18"/>
  <c r="L11" i="22"/>
  <c r="N11" i="22"/>
  <c r="J14" i="22"/>
  <c r="L14" i="22"/>
  <c r="F14" i="22"/>
  <c r="P14" i="22"/>
  <c r="H14" i="22"/>
  <c r="N14" i="22"/>
  <c r="H179" i="18"/>
  <c r="Z179" i="18"/>
  <c r="N179" i="18"/>
  <c r="O8" i="11"/>
  <c r="O52" i="11"/>
  <c r="T57" i="18"/>
  <c r="E33" i="11"/>
  <c r="O10" i="11"/>
  <c r="AC94" i="11"/>
  <c r="L83" i="9"/>
  <c r="AC18" i="11"/>
  <c r="AG16" i="11"/>
  <c r="I92" i="11"/>
  <c r="K92" i="11"/>
  <c r="G94" i="11"/>
  <c r="G96" i="11"/>
  <c r="E96" i="11"/>
  <c r="C268" i="9"/>
  <c r="P221" i="9"/>
  <c r="O31" i="11"/>
  <c r="N221" i="9"/>
  <c r="E117" i="11"/>
  <c r="H14" i="9"/>
  <c r="L60" i="9"/>
  <c r="C73" i="11"/>
  <c r="C75" i="11"/>
  <c r="O75" i="11" s="1"/>
  <c r="O12" i="11"/>
  <c r="T84" i="18"/>
  <c r="N84" i="18"/>
  <c r="N44" i="18"/>
  <c r="N43" i="18"/>
  <c r="T44" i="18"/>
  <c r="T46" i="18" s="1"/>
  <c r="R9" i="4"/>
  <c r="H9" i="4"/>
  <c r="C8" i="4"/>
  <c r="O29" i="11" l="1"/>
  <c r="O54" i="11"/>
  <c r="O94" i="11"/>
  <c r="O117" i="11"/>
  <c r="O115" i="11"/>
  <c r="O71" i="11"/>
  <c r="N24" i="18"/>
  <c r="L24" i="18"/>
  <c r="J24" i="18"/>
  <c r="H24" i="18"/>
  <c r="L11" i="18"/>
  <c r="N11" i="18"/>
  <c r="H15" i="18"/>
  <c r="J15" i="18"/>
  <c r="N15" i="18"/>
  <c r="L15" i="18"/>
  <c r="J11" i="18"/>
  <c r="H11" i="18"/>
  <c r="N6" i="18"/>
  <c r="L6" i="18"/>
  <c r="L4" i="18"/>
  <c r="N4" i="18"/>
  <c r="H6" i="18"/>
  <c r="J6" i="18"/>
  <c r="O33" i="11"/>
  <c r="P8" i="11"/>
  <c r="Q8" i="11" s="1"/>
  <c r="O73" i="11"/>
  <c r="P52" i="11"/>
  <c r="Q52" i="11" s="1"/>
  <c r="O96" i="11"/>
  <c r="P50" i="11"/>
  <c r="P12" i="11"/>
  <c r="Q12" i="11" s="1"/>
  <c r="O16" i="11"/>
  <c r="B291" i="9"/>
  <c r="D278" i="9"/>
  <c r="AL9" i="11"/>
  <c r="P31" i="11"/>
  <c r="Q31" i="11" s="1"/>
  <c r="P10" i="11"/>
  <c r="Q10" i="11" s="1"/>
  <c r="AC20" i="11"/>
  <c r="AG20" i="11" s="1"/>
  <c r="AG18" i="11"/>
  <c r="AH12" i="11" s="1"/>
  <c r="P75" i="11"/>
  <c r="Q75" i="11" s="1"/>
  <c r="O278" i="9"/>
  <c r="C291" i="9"/>
  <c r="AM9" i="11"/>
  <c r="O92" i="11"/>
  <c r="P54" i="11"/>
  <c r="Q54" i="11" s="1"/>
  <c r="P113" i="11"/>
  <c r="N46" i="18"/>
  <c r="R15" i="4"/>
  <c r="R16" i="4" s="1"/>
  <c r="R17" i="4" s="1"/>
  <c r="M15" i="4"/>
  <c r="M16" i="4" s="1"/>
  <c r="M17" i="4" s="1"/>
  <c r="H15" i="4"/>
  <c r="H16" i="4" s="1"/>
  <c r="H17" i="4" s="1"/>
  <c r="C15" i="4"/>
  <c r="H6" i="4"/>
  <c r="O58" i="11" l="1"/>
  <c r="P29" i="11"/>
  <c r="Q29" i="11" s="1"/>
  <c r="P94" i="11"/>
  <c r="Q94" i="11" s="1"/>
  <c r="O121" i="11"/>
  <c r="P117" i="11"/>
  <c r="Q117" i="11" s="1"/>
  <c r="P115" i="11"/>
  <c r="Q115" i="11" s="1"/>
  <c r="O37" i="11"/>
  <c r="P33" i="11"/>
  <c r="Q33" i="11" s="1"/>
  <c r="P96" i="11"/>
  <c r="Q96" i="11" s="1"/>
  <c r="O79" i="11"/>
  <c r="P71" i="11"/>
  <c r="Q71" i="11" s="1"/>
  <c r="H4" i="18"/>
  <c r="J4" i="18"/>
  <c r="P73" i="11"/>
  <c r="Q73" i="11" s="1"/>
  <c r="Q37" i="11"/>
  <c r="P16" i="11"/>
  <c r="P18" i="11" s="1"/>
  <c r="P20" i="11" s="1"/>
  <c r="Q16" i="11"/>
  <c r="AN9" i="11"/>
  <c r="AR9" i="11" s="1"/>
  <c r="AH14" i="11"/>
  <c r="Q113" i="11"/>
  <c r="P92" i="11"/>
  <c r="O100" i="11"/>
  <c r="Q50" i="11"/>
  <c r="Q58" i="11" s="1"/>
  <c r="P58" i="11"/>
  <c r="P60" i="11" s="1"/>
  <c r="H23" i="1"/>
  <c r="O9" i="4" s="1"/>
  <c r="E7" i="4"/>
  <c r="Q79" i="11" l="1"/>
  <c r="P121" i="11"/>
  <c r="P123" i="11" s="1"/>
  <c r="P125" i="11" s="1"/>
  <c r="Q121" i="11"/>
  <c r="P37" i="11"/>
  <c r="P39" i="11" s="1"/>
  <c r="P41" i="11" s="1"/>
  <c r="P79" i="11"/>
  <c r="P81" i="11" s="1"/>
  <c r="P83" i="11" s="1"/>
  <c r="E8" i="4"/>
  <c r="F16" i="22"/>
  <c r="AO9" i="11"/>
  <c r="AS9" i="11" s="1"/>
  <c r="Q92" i="11"/>
  <c r="Q100" i="11" s="1"/>
  <c r="P100" i="11"/>
  <c r="P102" i="11" s="1"/>
  <c r="AO7" i="11"/>
  <c r="AS7" i="11" s="1"/>
  <c r="P62" i="11"/>
  <c r="AO4" i="11"/>
  <c r="AS4" i="11" s="1"/>
  <c r="J9" i="4"/>
  <c r="T9" i="4"/>
  <c r="C16" i="4"/>
  <c r="C17" i="4" s="1"/>
  <c r="AO8" i="11" l="1"/>
  <c r="AS8" i="11" s="1"/>
  <c r="AO6" i="11"/>
  <c r="AS6" i="11" s="1"/>
  <c r="AO5" i="11"/>
  <c r="AS5" i="11" s="1"/>
  <c r="P104" i="11"/>
  <c r="H16" i="1"/>
  <c r="O6" i="4" l="1"/>
  <c r="L9" i="22"/>
  <c r="N9" i="22"/>
  <c r="P9" i="22"/>
  <c r="J9" i="22"/>
  <c r="H9" i="22"/>
  <c r="F9" i="22"/>
  <c r="H20" i="1"/>
  <c r="H22" i="1"/>
  <c r="H17" i="1"/>
  <c r="F10" i="22" s="1"/>
  <c r="H14" i="1"/>
  <c r="H13" i="1"/>
  <c r="H4" i="1"/>
  <c r="F14" i="1"/>
  <c r="F16" i="1"/>
  <c r="F10" i="1"/>
  <c r="C4" i="1"/>
  <c r="E25" i="23" l="1"/>
  <c r="C37" i="18"/>
  <c r="E24" i="1"/>
  <c r="G24" i="1" s="1"/>
  <c r="H24" i="23"/>
  <c r="F36" i="18"/>
  <c r="N7" i="22"/>
  <c r="J7" i="22"/>
  <c r="L7" i="22"/>
  <c r="H7" i="22"/>
  <c r="L15" i="22"/>
  <c r="P15" i="22"/>
  <c r="N15" i="22"/>
  <c r="F15" i="22"/>
  <c r="H15" i="22"/>
  <c r="J15" i="22"/>
  <c r="J10" i="22"/>
  <c r="H10" i="22"/>
  <c r="L6" i="22"/>
  <c r="J6" i="22"/>
  <c r="P6" i="22"/>
  <c r="H6" i="22"/>
  <c r="N6" i="22"/>
  <c r="F6" i="22"/>
  <c r="P13" i="22"/>
  <c r="H13" i="22"/>
  <c r="N13" i="22"/>
  <c r="J13" i="22"/>
  <c r="F13" i="22"/>
  <c r="L13" i="22"/>
  <c r="E26" i="1"/>
  <c r="G26" i="1" s="1"/>
  <c r="E25" i="1"/>
  <c r="G25" i="1" s="1"/>
  <c r="E12" i="1"/>
  <c r="G12" i="1" s="1"/>
  <c r="E13" i="1"/>
  <c r="G13" i="1" s="1"/>
  <c r="E21" i="1"/>
  <c r="G21" i="1" s="1"/>
  <c r="D7" i="4" s="1"/>
  <c r="E15" i="1"/>
  <c r="G15" i="1" s="1"/>
  <c r="E18" i="1"/>
  <c r="G18" i="1" s="1"/>
  <c r="E19" i="1"/>
  <c r="G19" i="1" s="1"/>
  <c r="E10" i="1"/>
  <c r="G10" i="1" s="1"/>
  <c r="H10" i="1"/>
  <c r="T6" i="4"/>
  <c r="J6" i="4"/>
  <c r="E20" i="1"/>
  <c r="G20" i="1" s="1"/>
  <c r="C8" i="2" s="1"/>
  <c r="E14" i="1"/>
  <c r="G14" i="1" s="1"/>
  <c r="E22" i="1"/>
  <c r="G22" i="1" s="1"/>
  <c r="E23" i="1"/>
  <c r="G23" i="1" s="1"/>
  <c r="N9" i="4" s="1"/>
  <c r="E17" i="1"/>
  <c r="G17" i="1" s="1"/>
  <c r="E16" i="1"/>
  <c r="O7" i="4"/>
  <c r="J7" i="4"/>
  <c r="E6" i="4"/>
  <c r="J8" i="4"/>
  <c r="T8" i="4"/>
  <c r="O8" i="4"/>
  <c r="AX151" i="23" l="1"/>
  <c r="AX158" i="23" s="1"/>
  <c r="AH172" i="23"/>
  <c r="AP174" i="23"/>
  <c r="R172" i="23"/>
  <c r="Z171" i="23"/>
  <c r="AH173" i="23"/>
  <c r="Z173" i="23"/>
  <c r="AP151" i="23"/>
  <c r="AP158" i="23" s="1"/>
  <c r="AX172" i="23"/>
  <c r="AX173" i="23"/>
  <c r="R174" i="23"/>
  <c r="J174" i="23"/>
  <c r="J171" i="23"/>
  <c r="Z151" i="23"/>
  <c r="Z158" i="23" s="1"/>
  <c r="J151" i="23"/>
  <c r="J158" i="23" s="1"/>
  <c r="R173" i="23"/>
  <c r="R151" i="23"/>
  <c r="R158" i="23" s="1"/>
  <c r="J172" i="23"/>
  <c r="AX171" i="23"/>
  <c r="AP173" i="23"/>
  <c r="Z172" i="23"/>
  <c r="AX174" i="23"/>
  <c r="AH171" i="23"/>
  <c r="R171" i="23"/>
  <c r="AP172" i="23"/>
  <c r="AH174" i="23"/>
  <c r="AH151" i="23"/>
  <c r="AH158" i="23" s="1"/>
  <c r="Z174" i="23"/>
  <c r="AP171" i="23"/>
  <c r="J173" i="23"/>
  <c r="Y176" i="23"/>
  <c r="Q154" i="23"/>
  <c r="AO175" i="23"/>
  <c r="AG172" i="23"/>
  <c r="AG177" i="23"/>
  <c r="I173" i="23"/>
  <c r="AO177" i="23"/>
  <c r="Y157" i="23"/>
  <c r="Q173" i="23"/>
  <c r="AW157" i="23"/>
  <c r="AW171" i="23"/>
  <c r="AW172" i="23"/>
  <c r="AO172" i="23"/>
  <c r="AG175" i="23"/>
  <c r="Y174" i="23"/>
  <c r="I172" i="23"/>
  <c r="Y175" i="23"/>
  <c r="Q175" i="23"/>
  <c r="AW177" i="23"/>
  <c r="Y153" i="23"/>
  <c r="Q152" i="23"/>
  <c r="AW152" i="23"/>
  <c r="I154" i="23"/>
  <c r="AG157" i="23"/>
  <c r="AG151" i="23"/>
  <c r="AG156" i="23"/>
  <c r="I157" i="23"/>
  <c r="AW176" i="23"/>
  <c r="Q171" i="23"/>
  <c r="Q177" i="23"/>
  <c r="AW153" i="23"/>
  <c r="Y151" i="23"/>
  <c r="AW173" i="23"/>
  <c r="AW154" i="23"/>
  <c r="AO157" i="23"/>
  <c r="AW174" i="23"/>
  <c r="Y154" i="23"/>
  <c r="I175" i="23"/>
  <c r="AO174" i="23"/>
  <c r="AG174" i="23"/>
  <c r="Y171" i="23"/>
  <c r="Q174" i="23"/>
  <c r="I176" i="23"/>
  <c r="AW175" i="23"/>
  <c r="Q156" i="23"/>
  <c r="AG153" i="23"/>
  <c r="Y152" i="23"/>
  <c r="AO154" i="23"/>
  <c r="I151" i="23"/>
  <c r="AO151" i="23"/>
  <c r="Q157" i="23"/>
  <c r="AG173" i="23"/>
  <c r="I152" i="23"/>
  <c r="AO156" i="23"/>
  <c r="Y156" i="23"/>
  <c r="AG171" i="23"/>
  <c r="I177" i="23"/>
  <c r="I171" i="23"/>
  <c r="AO173" i="23"/>
  <c r="AO171" i="23"/>
  <c r="Y172" i="23"/>
  <c r="Q176" i="23"/>
  <c r="I174" i="23"/>
  <c r="AO176" i="23"/>
  <c r="AG176" i="23"/>
  <c r="AO153" i="23"/>
  <c r="AG152" i="23"/>
  <c r="I156" i="23"/>
  <c r="Q151" i="23"/>
  <c r="AW151" i="23"/>
  <c r="Q172" i="23"/>
  <c r="Y173" i="23"/>
  <c r="Y177" i="23"/>
  <c r="Q153" i="23"/>
  <c r="AO152" i="23"/>
  <c r="AG154" i="23"/>
  <c r="Y166" i="23"/>
  <c r="AO166" i="23"/>
  <c r="AO146" i="23"/>
  <c r="AG166" i="23"/>
  <c r="I146" i="23"/>
  <c r="Y146" i="23"/>
  <c r="AG146" i="23"/>
  <c r="Q166" i="23"/>
  <c r="Q146" i="23"/>
  <c r="I166" i="23"/>
  <c r="Y126" i="23"/>
  <c r="AG126" i="23"/>
  <c r="AO126" i="23"/>
  <c r="Q126" i="23"/>
  <c r="I126" i="23"/>
  <c r="AG115" i="23"/>
  <c r="Q115" i="23"/>
  <c r="Y115" i="23"/>
  <c r="I115" i="23"/>
  <c r="AO115" i="23"/>
  <c r="Y54" i="23"/>
  <c r="AO54" i="23"/>
  <c r="Q54" i="23"/>
  <c r="AG54" i="23"/>
  <c r="I54" i="23"/>
  <c r="AH142" i="23"/>
  <c r="Z141" i="23"/>
  <c r="Z162" i="23"/>
  <c r="AP161" i="23"/>
  <c r="AH141" i="23"/>
  <c r="AH148" i="23" s="1"/>
  <c r="R161" i="23"/>
  <c r="AH161" i="23"/>
  <c r="J162" i="23"/>
  <c r="Z142" i="23"/>
  <c r="R142" i="23"/>
  <c r="AX141" i="23"/>
  <c r="AP162" i="23"/>
  <c r="AX161" i="23"/>
  <c r="R162" i="23"/>
  <c r="AP141" i="23"/>
  <c r="Z161" i="23"/>
  <c r="AH162" i="23"/>
  <c r="R141" i="23"/>
  <c r="R148" i="23" s="1"/>
  <c r="AX142" i="23"/>
  <c r="AX162" i="23"/>
  <c r="J142" i="23"/>
  <c r="J161" i="23"/>
  <c r="AP142" i="23"/>
  <c r="J141" i="23"/>
  <c r="AG167" i="23"/>
  <c r="Y165" i="23"/>
  <c r="AO164" i="23"/>
  <c r="I164" i="23"/>
  <c r="Y161" i="23"/>
  <c r="AO162" i="23"/>
  <c r="AG143" i="23"/>
  <c r="Q143" i="23"/>
  <c r="AG141" i="23"/>
  <c r="AW163" i="23"/>
  <c r="Q163" i="23"/>
  <c r="AG162" i="23"/>
  <c r="Y163" i="23"/>
  <c r="AG161" i="23"/>
  <c r="AG147" i="23"/>
  <c r="AW143" i="23"/>
  <c r="AO143" i="23"/>
  <c r="Y143" i="23"/>
  <c r="Q161" i="23"/>
  <c r="I144" i="23"/>
  <c r="Y162" i="23"/>
  <c r="AO163" i="23"/>
  <c r="AW164" i="23"/>
  <c r="Y141" i="23"/>
  <c r="AW142" i="23"/>
  <c r="I161" i="23"/>
  <c r="Q162" i="23"/>
  <c r="AG163" i="23"/>
  <c r="Y167" i="23"/>
  <c r="Q142" i="23"/>
  <c r="I141" i="23"/>
  <c r="Y144" i="23"/>
  <c r="Q144" i="23"/>
  <c r="AW147" i="23"/>
  <c r="AW141" i="23"/>
  <c r="AW145" i="23"/>
  <c r="AG142" i="23"/>
  <c r="I163" i="23"/>
  <c r="AO141" i="23"/>
  <c r="AW165" i="23"/>
  <c r="I147" i="23"/>
  <c r="AW162" i="23"/>
  <c r="I162" i="23"/>
  <c r="I165" i="23"/>
  <c r="Q141" i="23"/>
  <c r="AG145" i="23"/>
  <c r="Y145" i="23"/>
  <c r="AO167" i="23"/>
  <c r="Q164" i="23"/>
  <c r="Y142" i="23"/>
  <c r="AO165" i="23"/>
  <c r="Y147" i="23"/>
  <c r="Q147" i="23"/>
  <c r="AW161" i="23"/>
  <c r="AG164" i="23"/>
  <c r="Q145" i="23"/>
  <c r="Q165" i="23"/>
  <c r="Y164" i="23"/>
  <c r="Q167" i="23"/>
  <c r="I145" i="23"/>
  <c r="AW144" i="23"/>
  <c r="AG165" i="23"/>
  <c r="AO147" i="23"/>
  <c r="I167" i="23"/>
  <c r="AO161" i="23"/>
  <c r="AW167" i="23"/>
  <c r="AO145" i="23"/>
  <c r="AG144" i="23"/>
  <c r="AO144" i="23"/>
  <c r="AO142" i="23"/>
  <c r="I142" i="23"/>
  <c r="AH49" i="23"/>
  <c r="R50" i="23"/>
  <c r="AX49" i="23"/>
  <c r="Z50" i="23"/>
  <c r="R49" i="23"/>
  <c r="AH50" i="23"/>
  <c r="AP50" i="23"/>
  <c r="Z49" i="23"/>
  <c r="Z56" i="23" s="1"/>
  <c r="J50" i="23"/>
  <c r="J49" i="23"/>
  <c r="AP49" i="23"/>
  <c r="AP56" i="23" s="1"/>
  <c r="AX50" i="23"/>
  <c r="Q53" i="23"/>
  <c r="AG55" i="23"/>
  <c r="AG52" i="23"/>
  <c r="I55" i="23"/>
  <c r="AW53" i="23"/>
  <c r="AG49" i="23"/>
  <c r="Y49" i="23"/>
  <c r="Q51" i="23"/>
  <c r="AW51" i="23"/>
  <c r="Y55" i="23"/>
  <c r="AG53" i="23"/>
  <c r="AO51" i="23"/>
  <c r="AW55" i="23"/>
  <c r="I53" i="23"/>
  <c r="AO49" i="23"/>
  <c r="AO55" i="23"/>
  <c r="Y50" i="23"/>
  <c r="Y51" i="23"/>
  <c r="Q52" i="23"/>
  <c r="AO52" i="23"/>
  <c r="AG50" i="23"/>
  <c r="AW50" i="23"/>
  <c r="Y53" i="23"/>
  <c r="AO50" i="23"/>
  <c r="AW49" i="23"/>
  <c r="Q49" i="23"/>
  <c r="AG51" i="23"/>
  <c r="I49" i="23"/>
  <c r="AW52" i="23"/>
  <c r="Q55" i="23"/>
  <c r="AO53" i="23"/>
  <c r="I50" i="23"/>
  <c r="I52" i="23"/>
  <c r="Q50" i="23"/>
  <c r="Y52" i="23"/>
  <c r="AP131" i="23"/>
  <c r="AX133" i="23"/>
  <c r="AH131" i="23"/>
  <c r="Z134" i="23"/>
  <c r="AX132" i="23"/>
  <c r="R133" i="23"/>
  <c r="AH134" i="23"/>
  <c r="J133" i="23"/>
  <c r="AP132" i="23"/>
  <c r="AH133" i="23"/>
  <c r="Z132" i="23"/>
  <c r="R131" i="23"/>
  <c r="Z131" i="23"/>
  <c r="Z133" i="23"/>
  <c r="AX134" i="23"/>
  <c r="J132" i="23"/>
  <c r="AP134" i="23"/>
  <c r="AP133" i="23"/>
  <c r="AX131" i="23"/>
  <c r="R134" i="23"/>
  <c r="R132" i="23"/>
  <c r="J134" i="23"/>
  <c r="AH132" i="23"/>
  <c r="J131" i="23"/>
  <c r="Z110" i="23"/>
  <c r="AH109" i="23"/>
  <c r="Z109" i="23"/>
  <c r="Z121" i="23"/>
  <c r="J110" i="23"/>
  <c r="AX122" i="23"/>
  <c r="J111" i="23"/>
  <c r="J122" i="23"/>
  <c r="AP111" i="23"/>
  <c r="Z120" i="23"/>
  <c r="R122" i="23"/>
  <c r="AP120" i="23"/>
  <c r="R120" i="23"/>
  <c r="AH111" i="23"/>
  <c r="AX110" i="23"/>
  <c r="Z122" i="23"/>
  <c r="AH120" i="23"/>
  <c r="AH122" i="23"/>
  <c r="AX109" i="23"/>
  <c r="AP122" i="23"/>
  <c r="AH121" i="23"/>
  <c r="R121" i="23"/>
  <c r="J120" i="23"/>
  <c r="J109" i="23"/>
  <c r="Z111" i="23"/>
  <c r="AX111" i="23"/>
  <c r="R110" i="23"/>
  <c r="R111" i="23"/>
  <c r="AX120" i="23"/>
  <c r="AP110" i="23"/>
  <c r="AP121" i="23"/>
  <c r="J121" i="23"/>
  <c r="R109" i="23"/>
  <c r="AH110" i="23"/>
  <c r="AP109" i="23"/>
  <c r="AX121" i="23"/>
  <c r="AG135" i="23"/>
  <c r="AG134" i="23"/>
  <c r="AG133" i="23"/>
  <c r="Q132" i="23"/>
  <c r="AG131" i="23"/>
  <c r="AG137" i="23"/>
  <c r="Q134" i="23"/>
  <c r="Q136" i="23"/>
  <c r="AO132" i="23"/>
  <c r="AO134" i="23"/>
  <c r="AO137" i="23"/>
  <c r="AW134" i="23"/>
  <c r="I134" i="23"/>
  <c r="Q135" i="23"/>
  <c r="AW137" i="23"/>
  <c r="Q137" i="23"/>
  <c r="AW136" i="23"/>
  <c r="Y135" i="23"/>
  <c r="AW132" i="23"/>
  <c r="I135" i="23"/>
  <c r="AG132" i="23"/>
  <c r="Y132" i="23"/>
  <c r="I136" i="23"/>
  <c r="I133" i="23"/>
  <c r="AW135" i="23"/>
  <c r="Y134" i="23"/>
  <c r="Y133" i="23"/>
  <c r="Q133" i="23"/>
  <c r="AO131" i="23"/>
  <c r="AO133" i="23"/>
  <c r="AO135" i="23"/>
  <c r="AW133" i="23"/>
  <c r="I137" i="23"/>
  <c r="I131" i="23"/>
  <c r="AO136" i="23"/>
  <c r="Y131" i="23"/>
  <c r="Q131" i="23"/>
  <c r="I132" i="23"/>
  <c r="AG136" i="23"/>
  <c r="AW131" i="23"/>
  <c r="Y136" i="23"/>
  <c r="Y137" i="23"/>
  <c r="AW122" i="23"/>
  <c r="AW112" i="23"/>
  <c r="AG127" i="23"/>
  <c r="AW123" i="23"/>
  <c r="I112" i="23"/>
  <c r="Y122" i="23"/>
  <c r="I116" i="23"/>
  <c r="AW110" i="23"/>
  <c r="AW114" i="23"/>
  <c r="I124" i="23"/>
  <c r="Q112" i="23"/>
  <c r="Y109" i="23"/>
  <c r="AW120" i="23"/>
  <c r="Y120" i="23"/>
  <c r="AW125" i="23"/>
  <c r="Q125" i="23"/>
  <c r="Q122" i="23"/>
  <c r="I120" i="23"/>
  <c r="Y124" i="23"/>
  <c r="AW127" i="23"/>
  <c r="AO113" i="23"/>
  <c r="AG113" i="23"/>
  <c r="AG110" i="23"/>
  <c r="I110" i="23"/>
  <c r="Y113" i="23"/>
  <c r="Q116" i="23"/>
  <c r="Y111" i="23"/>
  <c r="AG122" i="23"/>
  <c r="AO120" i="23"/>
  <c r="AW121" i="23"/>
  <c r="Y125" i="23"/>
  <c r="Q121" i="23"/>
  <c r="Q127" i="23"/>
  <c r="AW113" i="23"/>
  <c r="AW109" i="23"/>
  <c r="AO122" i="23"/>
  <c r="Q109" i="23"/>
  <c r="AO111" i="23"/>
  <c r="AO124" i="23"/>
  <c r="Y110" i="23"/>
  <c r="AO114" i="23"/>
  <c r="AG123" i="23"/>
  <c r="AW111" i="23"/>
  <c r="AO116" i="23"/>
  <c r="AG120" i="23"/>
  <c r="I127" i="23"/>
  <c r="Y121" i="23"/>
  <c r="AO125" i="23"/>
  <c r="I125" i="23"/>
  <c r="Q120" i="23"/>
  <c r="AG114" i="23"/>
  <c r="AO112" i="23"/>
  <c r="AO109" i="23"/>
  <c r="Q111" i="23"/>
  <c r="Y116" i="23"/>
  <c r="AW116" i="23"/>
  <c r="Y123" i="23"/>
  <c r="Y112" i="23"/>
  <c r="I111" i="23"/>
  <c r="AO123" i="23"/>
  <c r="AO121" i="23"/>
  <c r="Q110" i="23"/>
  <c r="AG109" i="23"/>
  <c r="AW124" i="23"/>
  <c r="I113" i="23"/>
  <c r="I114" i="23"/>
  <c r="AG121" i="23"/>
  <c r="I123" i="23"/>
  <c r="AG124" i="23"/>
  <c r="AG125" i="23"/>
  <c r="Q124" i="23"/>
  <c r="Q123" i="23"/>
  <c r="Y127" i="23"/>
  <c r="AG112" i="23"/>
  <c r="AO110" i="23"/>
  <c r="Q113" i="23"/>
  <c r="I122" i="23"/>
  <c r="AG116" i="23"/>
  <c r="AO127" i="23"/>
  <c r="I109" i="23"/>
  <c r="Y114" i="23"/>
  <c r="I121" i="23"/>
  <c r="Q114" i="23"/>
  <c r="AG111" i="23"/>
  <c r="AP99" i="23"/>
  <c r="AP79" i="23"/>
  <c r="AH99" i="23"/>
  <c r="AH106" i="23" s="1"/>
  <c r="AH90" i="23"/>
  <c r="AH80" i="23"/>
  <c r="AX99" i="23"/>
  <c r="AX106" i="23" s="1"/>
  <c r="Z99" i="23"/>
  <c r="Z106" i="23" s="1"/>
  <c r="R99" i="23"/>
  <c r="R106" i="23" s="1"/>
  <c r="Z89" i="23"/>
  <c r="AX89" i="23"/>
  <c r="AH79" i="23"/>
  <c r="AX79" i="23"/>
  <c r="J90" i="23"/>
  <c r="AP80" i="23"/>
  <c r="AX80" i="23"/>
  <c r="AP90" i="23"/>
  <c r="R89" i="23"/>
  <c r="Z80" i="23"/>
  <c r="R80" i="23"/>
  <c r="Z90" i="23"/>
  <c r="AX90" i="23"/>
  <c r="AP89" i="23"/>
  <c r="J89" i="23"/>
  <c r="AH89" i="23"/>
  <c r="AH96" i="23" s="1"/>
  <c r="R90" i="23"/>
  <c r="Z79" i="23"/>
  <c r="Z86" i="23" s="1"/>
  <c r="R79" i="23"/>
  <c r="R86" i="23" s="1"/>
  <c r="AX62" i="23"/>
  <c r="R70" i="23"/>
  <c r="AH69" i="23"/>
  <c r="AH61" i="23"/>
  <c r="Z60" i="23"/>
  <c r="AH59" i="23"/>
  <c r="AP70" i="23"/>
  <c r="AH60" i="23"/>
  <c r="AP61" i="23"/>
  <c r="J71" i="23"/>
  <c r="J60" i="23"/>
  <c r="Z61" i="23"/>
  <c r="AP62" i="23"/>
  <c r="AH70" i="23"/>
  <c r="AX69" i="23"/>
  <c r="AP60" i="23"/>
  <c r="Z59" i="23"/>
  <c r="Z71" i="23"/>
  <c r="AX60" i="23"/>
  <c r="AH71" i="23"/>
  <c r="J62" i="23"/>
  <c r="AX59" i="23"/>
  <c r="Z69" i="23"/>
  <c r="AP69" i="23"/>
  <c r="J80" i="23"/>
  <c r="AX70" i="23"/>
  <c r="R62" i="23"/>
  <c r="Z62" i="23"/>
  <c r="R60" i="23"/>
  <c r="R69" i="23"/>
  <c r="AP71" i="23"/>
  <c r="J70" i="23"/>
  <c r="R59" i="23"/>
  <c r="AH62" i="23"/>
  <c r="J79" i="23"/>
  <c r="AX71" i="23"/>
  <c r="R71" i="23"/>
  <c r="R61" i="23"/>
  <c r="Z70" i="23"/>
  <c r="AX61" i="23"/>
  <c r="J61" i="23"/>
  <c r="AP59" i="23"/>
  <c r="J69" i="23"/>
  <c r="AX39" i="23"/>
  <c r="AX46" i="23" s="1"/>
  <c r="P4" i="23" s="1"/>
  <c r="P19" i="23" s="1"/>
  <c r="AP39" i="23"/>
  <c r="AP46" i="23" s="1"/>
  <c r="N4" i="23" s="1"/>
  <c r="N19" i="23" s="1"/>
  <c r="AG94" i="23"/>
  <c r="Y92" i="23"/>
  <c r="Y93" i="23"/>
  <c r="Y91" i="23"/>
  <c r="Q93" i="23"/>
  <c r="AW100" i="23"/>
  <c r="Y99" i="23"/>
  <c r="Q94" i="23"/>
  <c r="AG91" i="23"/>
  <c r="Q89" i="23"/>
  <c r="AG90" i="23"/>
  <c r="Q92" i="23"/>
  <c r="AG93" i="23"/>
  <c r="Y81" i="23"/>
  <c r="AO80" i="23"/>
  <c r="AG80" i="23"/>
  <c r="AO94" i="23"/>
  <c r="AW93" i="23"/>
  <c r="AW89" i="23"/>
  <c r="AO93" i="23"/>
  <c r="I92" i="23"/>
  <c r="AO81" i="23"/>
  <c r="AG79" i="23"/>
  <c r="AO91" i="23"/>
  <c r="AG92" i="23"/>
  <c r="AO99" i="23"/>
  <c r="AO95" i="23"/>
  <c r="Y95" i="23"/>
  <c r="AO92" i="23"/>
  <c r="AO79" i="23"/>
  <c r="AG95" i="23"/>
  <c r="AW91" i="23"/>
  <c r="AW74" i="23"/>
  <c r="Q99" i="23"/>
  <c r="I95" i="23"/>
  <c r="AW94" i="23"/>
  <c r="Q91" i="23"/>
  <c r="I93" i="23"/>
  <c r="Y89" i="23"/>
  <c r="AO90" i="23"/>
  <c r="Q95" i="23"/>
  <c r="AW80" i="23"/>
  <c r="AW79" i="23"/>
  <c r="AW99" i="23"/>
  <c r="I94" i="23"/>
  <c r="AG99" i="23"/>
  <c r="Y94" i="23"/>
  <c r="I90" i="23"/>
  <c r="AG81" i="23"/>
  <c r="Y90" i="23"/>
  <c r="AW90" i="23"/>
  <c r="AO89" i="23"/>
  <c r="Y80" i="23"/>
  <c r="Q80" i="23"/>
  <c r="I89" i="23"/>
  <c r="AG89" i="23"/>
  <c r="Q90" i="23"/>
  <c r="Y79" i="23"/>
  <c r="Q79" i="23"/>
  <c r="AO83" i="23"/>
  <c r="AG64" i="23"/>
  <c r="Y63" i="23"/>
  <c r="Q83" i="23"/>
  <c r="Y85" i="23"/>
  <c r="I73" i="23"/>
  <c r="AO64" i="23"/>
  <c r="Y64" i="23"/>
  <c r="AG65" i="23"/>
  <c r="Y65" i="23"/>
  <c r="Q63" i="23"/>
  <c r="I64" i="23"/>
  <c r="AW83" i="23"/>
  <c r="AW63" i="23"/>
  <c r="Q64" i="23"/>
  <c r="AG75" i="23"/>
  <c r="AO63" i="23"/>
  <c r="AW70" i="23"/>
  <c r="Q59" i="23"/>
  <c r="AG70" i="23"/>
  <c r="Y62" i="23"/>
  <c r="Q85" i="23"/>
  <c r="AG61" i="23"/>
  <c r="AG69" i="23"/>
  <c r="AW71" i="23"/>
  <c r="I75" i="23"/>
  <c r="Q72" i="23"/>
  <c r="Q82" i="23"/>
  <c r="I83" i="23"/>
  <c r="I79" i="23"/>
  <c r="AG83" i="23"/>
  <c r="AG82" i="23"/>
  <c r="AO85" i="23"/>
  <c r="AW73" i="23"/>
  <c r="Y73" i="23"/>
  <c r="I72" i="23"/>
  <c r="AO62" i="23"/>
  <c r="Q62" i="23"/>
  <c r="AO75" i="23"/>
  <c r="Y72" i="23"/>
  <c r="AG59" i="23"/>
  <c r="AW75" i="23"/>
  <c r="I71" i="23"/>
  <c r="Q75" i="23"/>
  <c r="Y61" i="23"/>
  <c r="AW59" i="23"/>
  <c r="AO69" i="23"/>
  <c r="AW60" i="23"/>
  <c r="Q61" i="23"/>
  <c r="Q70" i="23"/>
  <c r="Y75" i="23"/>
  <c r="Y70" i="23"/>
  <c r="AG60" i="23"/>
  <c r="Q81" i="23"/>
  <c r="Y83" i="23"/>
  <c r="AO73" i="23"/>
  <c r="Q71" i="23"/>
  <c r="I69" i="23"/>
  <c r="AO59" i="23"/>
  <c r="AO65" i="23"/>
  <c r="I62" i="23"/>
  <c r="AG85" i="23"/>
  <c r="I80" i="23"/>
  <c r="Q73" i="23"/>
  <c r="AO61" i="23"/>
  <c r="Q65" i="23"/>
  <c r="Y82" i="23"/>
  <c r="AG62" i="23"/>
  <c r="AW65" i="23"/>
  <c r="Y60" i="23"/>
  <c r="AW62" i="23"/>
  <c r="AO72" i="23"/>
  <c r="I82" i="23"/>
  <c r="AO70" i="23"/>
  <c r="AW61" i="23"/>
  <c r="Y71" i="23"/>
  <c r="AO71" i="23"/>
  <c r="AW81" i="23"/>
  <c r="I85" i="23"/>
  <c r="AG73" i="23"/>
  <c r="I70" i="23"/>
  <c r="AO60" i="23"/>
  <c r="AG63" i="23"/>
  <c r="I61" i="23"/>
  <c r="Q60" i="23"/>
  <c r="Y69" i="23"/>
  <c r="AG71" i="23"/>
  <c r="AW69" i="23"/>
  <c r="Y59" i="23"/>
  <c r="Q69" i="23"/>
  <c r="AO82" i="23"/>
  <c r="AG72" i="23"/>
  <c r="AW64" i="23"/>
  <c r="I60" i="23"/>
  <c r="AO39" i="23"/>
  <c r="AW39" i="23"/>
  <c r="I103" i="23"/>
  <c r="AW30" i="23"/>
  <c r="Y45" i="23"/>
  <c r="Q45" i="23"/>
  <c r="I105" i="23"/>
  <c r="AO35" i="23"/>
  <c r="I65" i="23"/>
  <c r="Y105" i="23"/>
  <c r="AG35" i="23"/>
  <c r="Y35" i="23"/>
  <c r="AW40" i="23"/>
  <c r="I45" i="23"/>
  <c r="AO45" i="23"/>
  <c r="AG45" i="23"/>
  <c r="Q105" i="23"/>
  <c r="I35" i="23"/>
  <c r="AO105" i="23"/>
  <c r="Q35" i="23"/>
  <c r="AG105" i="23"/>
  <c r="Q32" i="23"/>
  <c r="AO42" i="23"/>
  <c r="AG42" i="23"/>
  <c r="I102" i="23"/>
  <c r="AG32" i="23"/>
  <c r="Y42" i="23"/>
  <c r="Y102" i="23"/>
  <c r="AG102" i="23"/>
  <c r="I42" i="23"/>
  <c r="I32" i="23"/>
  <c r="Q102" i="23"/>
  <c r="Q42" i="23"/>
  <c r="AO32" i="23"/>
  <c r="Y32" i="23"/>
  <c r="AO102" i="23"/>
  <c r="AO103" i="23"/>
  <c r="I33" i="23"/>
  <c r="Y43" i="23"/>
  <c r="AO43" i="23"/>
  <c r="Y29" i="23"/>
  <c r="AG39" i="23"/>
  <c r="Y39" i="23"/>
  <c r="AW29" i="23"/>
  <c r="Q30" i="23"/>
  <c r="Y40" i="23"/>
  <c r="I99" i="23"/>
  <c r="Q103" i="23"/>
  <c r="AW43" i="23"/>
  <c r="AG29" i="23"/>
  <c r="AG43" i="23"/>
  <c r="Y30" i="23"/>
  <c r="AW33" i="23"/>
  <c r="AO33" i="23"/>
  <c r="AO29" i="23"/>
  <c r="Y33" i="23"/>
  <c r="Q43" i="23"/>
  <c r="AW103" i="23"/>
  <c r="Q39" i="23"/>
  <c r="Q40" i="23"/>
  <c r="I63" i="23"/>
  <c r="Y103" i="23"/>
  <c r="I43" i="23"/>
  <c r="AO40" i="23"/>
  <c r="I39" i="23"/>
  <c r="Q33" i="23"/>
  <c r="AO30" i="23"/>
  <c r="AG33" i="23"/>
  <c r="AG40" i="23"/>
  <c r="AG103" i="23"/>
  <c r="Q29" i="23"/>
  <c r="I59" i="23"/>
  <c r="AG30" i="23"/>
  <c r="I29" i="23"/>
  <c r="J99" i="23"/>
  <c r="J106" i="23" s="1"/>
  <c r="AH29" i="23"/>
  <c r="AH36" i="23" s="1"/>
  <c r="L3" i="23" s="1"/>
  <c r="R29" i="23"/>
  <c r="R36" i="23" s="1"/>
  <c r="H3" i="23" s="1"/>
  <c r="R39" i="23"/>
  <c r="R46" i="23" s="1"/>
  <c r="H4" i="23" s="1"/>
  <c r="H19" i="23" s="1"/>
  <c r="AP29" i="23"/>
  <c r="AP36" i="23" s="1"/>
  <c r="N3" i="23" s="1"/>
  <c r="N18" i="23" s="1"/>
  <c r="AP106" i="23"/>
  <c r="J39" i="23"/>
  <c r="J46" i="23" s="1"/>
  <c r="F4" i="23" s="1"/>
  <c r="F19" i="23" s="1"/>
  <c r="Z29" i="23"/>
  <c r="Z36" i="23" s="1"/>
  <c r="J3" i="23" s="1"/>
  <c r="AH39" i="23"/>
  <c r="AH46" i="23" s="1"/>
  <c r="L4" i="23" s="1"/>
  <c r="L19" i="23" s="1"/>
  <c r="Z39" i="23"/>
  <c r="Z46" i="23" s="1"/>
  <c r="J4" i="23" s="1"/>
  <c r="J19" i="23" s="1"/>
  <c r="AX29" i="23"/>
  <c r="AX36" i="23" s="1"/>
  <c r="P3" i="23" s="1"/>
  <c r="J59" i="23"/>
  <c r="J29" i="23"/>
  <c r="J36" i="23" s="1"/>
  <c r="F3" i="23" s="1"/>
  <c r="S114" i="18"/>
  <c r="Y114" i="18"/>
  <c r="S194" i="18"/>
  <c r="M114" i="18"/>
  <c r="M194" i="18"/>
  <c r="Y194" i="18"/>
  <c r="T194" i="18"/>
  <c r="T198" i="18" s="1"/>
  <c r="N114" i="18"/>
  <c r="N118" i="18" s="1"/>
  <c r="T114" i="18"/>
  <c r="T118" i="18" s="1"/>
  <c r="Z194" i="18"/>
  <c r="Z198" i="18" s="1"/>
  <c r="P32" i="18" s="1"/>
  <c r="N194" i="18"/>
  <c r="N198" i="18" s="1"/>
  <c r="Z114" i="18"/>
  <c r="Z118" i="18" s="1"/>
  <c r="Y178" i="18"/>
  <c r="Y177" i="18"/>
  <c r="S177" i="18"/>
  <c r="S178" i="18"/>
  <c r="Y179" i="18"/>
  <c r="G177" i="18"/>
  <c r="G179" i="18"/>
  <c r="M178" i="18"/>
  <c r="G178" i="18"/>
  <c r="M179" i="18"/>
  <c r="M177" i="18"/>
  <c r="S179" i="18"/>
  <c r="Z177" i="18"/>
  <c r="Z178" i="18"/>
  <c r="N178" i="18"/>
  <c r="H178" i="18"/>
  <c r="N177" i="18"/>
  <c r="T177" i="18"/>
  <c r="T178" i="18"/>
  <c r="H177" i="18"/>
  <c r="H181" i="18" s="1"/>
  <c r="F29" i="18" s="1"/>
  <c r="E5" i="4"/>
  <c r="E9" i="4" s="1"/>
  <c r="E11" i="4" s="1"/>
  <c r="C18" i="4" s="1"/>
  <c r="C19" i="4" s="1"/>
  <c r="F4" i="22"/>
  <c r="F20" i="22" s="1"/>
  <c r="L4" i="22"/>
  <c r="L20" i="22" s="1"/>
  <c r="H4" i="22"/>
  <c r="H20" i="22" s="1"/>
  <c r="N4" i="22"/>
  <c r="N20" i="22" s="1"/>
  <c r="J4" i="22"/>
  <c r="J20" i="22" s="1"/>
  <c r="P20" i="22"/>
  <c r="H99" i="18"/>
  <c r="H103" i="18" s="1"/>
  <c r="F15" i="18" s="1"/>
  <c r="Z126" i="18"/>
  <c r="T126" i="18"/>
  <c r="T127" i="18"/>
  <c r="N126" i="18"/>
  <c r="Z127" i="18"/>
  <c r="H127" i="18"/>
  <c r="N127" i="18"/>
  <c r="H126" i="18"/>
  <c r="G128" i="18"/>
  <c r="S126" i="18"/>
  <c r="S127" i="18"/>
  <c r="G127" i="18"/>
  <c r="M128" i="18"/>
  <c r="M127" i="18"/>
  <c r="Y126" i="18"/>
  <c r="Y127" i="18"/>
  <c r="G126" i="18"/>
  <c r="Y128" i="18"/>
  <c r="M126" i="18"/>
  <c r="S128" i="18"/>
  <c r="Y196" i="18"/>
  <c r="Y191" i="18"/>
  <c r="Y140" i="18"/>
  <c r="Y167" i="18"/>
  <c r="M100" i="18"/>
  <c r="G102" i="18"/>
  <c r="S102" i="18"/>
  <c r="Y116" i="18"/>
  <c r="Y101" i="18"/>
  <c r="Y100" i="18"/>
  <c r="G100" i="18"/>
  <c r="Y60" i="18"/>
  <c r="M102" i="18"/>
  <c r="G99" i="18"/>
  <c r="Y87" i="18"/>
  <c r="Y82" i="18"/>
  <c r="S100" i="18"/>
  <c r="Y111" i="18"/>
  <c r="M101" i="18"/>
  <c r="S101" i="18"/>
  <c r="J5" i="4"/>
  <c r="J10" i="4" s="1"/>
  <c r="J12" i="4" s="1"/>
  <c r="H18" i="4" s="1"/>
  <c r="H19" i="4" s="1"/>
  <c r="O5" i="4"/>
  <c r="O10" i="4" s="1"/>
  <c r="G16" i="1"/>
  <c r="N6" i="4" s="1"/>
  <c r="H189" i="18"/>
  <c r="H193" i="18" s="1"/>
  <c r="F31" i="18" s="1"/>
  <c r="Z189" i="18"/>
  <c r="Z193" i="18" s="1"/>
  <c r="P31" i="18" s="1"/>
  <c r="T189" i="18"/>
  <c r="T193" i="18" s="1"/>
  <c r="N189" i="18"/>
  <c r="N193" i="18" s="1"/>
  <c r="H194" i="18"/>
  <c r="H198" i="18" s="1"/>
  <c r="F32" i="18" s="1"/>
  <c r="S195" i="18"/>
  <c r="M197" i="18"/>
  <c r="G192" i="18"/>
  <c r="M192" i="18"/>
  <c r="Y195" i="18"/>
  <c r="S189" i="18"/>
  <c r="G194" i="18"/>
  <c r="M189" i="18"/>
  <c r="G195" i="18"/>
  <c r="G190" i="18"/>
  <c r="M196" i="18"/>
  <c r="Y189" i="18"/>
  <c r="M195" i="18"/>
  <c r="S192" i="18"/>
  <c r="M190" i="18"/>
  <c r="S190" i="18"/>
  <c r="S196" i="18"/>
  <c r="G189" i="18"/>
  <c r="Y190" i="18"/>
  <c r="G197" i="18"/>
  <c r="S197" i="18"/>
  <c r="N172" i="18"/>
  <c r="H182" i="18"/>
  <c r="T173" i="18"/>
  <c r="Z182" i="18"/>
  <c r="H173" i="18"/>
  <c r="Z172" i="18"/>
  <c r="T182" i="18"/>
  <c r="H172" i="18"/>
  <c r="N183" i="18"/>
  <c r="Z173" i="18"/>
  <c r="N182" i="18"/>
  <c r="N173" i="18"/>
  <c r="H183" i="18"/>
  <c r="T172" i="18"/>
  <c r="Z183" i="18"/>
  <c r="T183" i="18"/>
  <c r="M184" i="18"/>
  <c r="M174" i="18"/>
  <c r="S184" i="18"/>
  <c r="G184" i="18"/>
  <c r="Y172" i="18"/>
  <c r="Y173" i="18"/>
  <c r="S182" i="18"/>
  <c r="S183" i="18"/>
  <c r="S174" i="18"/>
  <c r="G172" i="18"/>
  <c r="G173" i="18"/>
  <c r="Y174" i="18"/>
  <c r="Y182" i="18"/>
  <c r="Y183" i="18"/>
  <c r="S172" i="18"/>
  <c r="M183" i="18"/>
  <c r="M172" i="18"/>
  <c r="M173" i="18"/>
  <c r="G182" i="18"/>
  <c r="G183" i="18"/>
  <c r="Y184" i="18"/>
  <c r="G174" i="18"/>
  <c r="S173" i="18"/>
  <c r="M182" i="18"/>
  <c r="T165" i="18"/>
  <c r="T169" i="18" s="1"/>
  <c r="N165" i="18"/>
  <c r="N169" i="18" s="1"/>
  <c r="T160" i="18"/>
  <c r="T164" i="18" s="1"/>
  <c r="H165" i="18"/>
  <c r="H169" i="18" s="1"/>
  <c r="F27" i="18" s="1"/>
  <c r="Z160" i="18"/>
  <c r="Z164" i="18" s="1"/>
  <c r="P26" i="18" s="1"/>
  <c r="Z165" i="18"/>
  <c r="Z169" i="18" s="1"/>
  <c r="P27" i="18" s="1"/>
  <c r="H160" i="18"/>
  <c r="H164" i="18" s="1"/>
  <c r="F26" i="18" s="1"/>
  <c r="N160" i="18"/>
  <c r="N164" i="18" s="1"/>
  <c r="G161" i="18"/>
  <c r="S162" i="18"/>
  <c r="M163" i="18"/>
  <c r="M168" i="18"/>
  <c r="Y160" i="18"/>
  <c r="Y166" i="18"/>
  <c r="G165" i="18"/>
  <c r="G160" i="18"/>
  <c r="M161" i="18"/>
  <c r="S168" i="18"/>
  <c r="S165" i="18"/>
  <c r="M166" i="18"/>
  <c r="G163" i="18"/>
  <c r="S166" i="18"/>
  <c r="M160" i="18"/>
  <c r="G162" i="18"/>
  <c r="Y163" i="18"/>
  <c r="Y161" i="18"/>
  <c r="G166" i="18"/>
  <c r="M165" i="18"/>
  <c r="S163" i="18"/>
  <c r="S160" i="18"/>
  <c r="G168" i="18"/>
  <c r="G169" i="18" s="1"/>
  <c r="E27" i="18" s="1"/>
  <c r="S161" i="18"/>
  <c r="Y162" i="18"/>
  <c r="M162" i="18"/>
  <c r="Y165" i="18"/>
  <c r="T131" i="18"/>
  <c r="Z156" i="18"/>
  <c r="N156" i="18"/>
  <c r="Z132" i="18"/>
  <c r="H156" i="18"/>
  <c r="N155" i="18"/>
  <c r="Z155" i="18"/>
  <c r="T132" i="18"/>
  <c r="N131" i="18"/>
  <c r="H155" i="18"/>
  <c r="N132" i="18"/>
  <c r="T156" i="18"/>
  <c r="H131" i="18"/>
  <c r="Z131" i="18"/>
  <c r="H132" i="18"/>
  <c r="T155" i="18"/>
  <c r="G157" i="18"/>
  <c r="M133" i="18"/>
  <c r="Y155" i="18"/>
  <c r="Y156" i="18"/>
  <c r="Y131" i="18"/>
  <c r="Y132" i="18"/>
  <c r="S155" i="18"/>
  <c r="S131" i="18"/>
  <c r="S132" i="18"/>
  <c r="S157" i="18"/>
  <c r="M157" i="18"/>
  <c r="G155" i="18"/>
  <c r="G156" i="18"/>
  <c r="Y157" i="18"/>
  <c r="G131" i="18"/>
  <c r="G132" i="18"/>
  <c r="Y133" i="18"/>
  <c r="G133" i="18"/>
  <c r="S133" i="18"/>
  <c r="M155" i="18"/>
  <c r="M156" i="18"/>
  <c r="M131" i="18"/>
  <c r="M132" i="18"/>
  <c r="S156" i="18"/>
  <c r="T148" i="18"/>
  <c r="H148" i="18"/>
  <c r="N148" i="18"/>
  <c r="Z148" i="18"/>
  <c r="M148" i="18"/>
  <c r="S148" i="18"/>
  <c r="G148" i="18"/>
  <c r="Y151" i="18"/>
  <c r="Y148" i="18"/>
  <c r="G151" i="18"/>
  <c r="S150" i="18"/>
  <c r="M149" i="18"/>
  <c r="M150" i="18"/>
  <c r="G150" i="18"/>
  <c r="S149" i="18"/>
  <c r="G149" i="18"/>
  <c r="Y149" i="18"/>
  <c r="S151" i="18"/>
  <c r="Y150" i="18"/>
  <c r="M151" i="18"/>
  <c r="G146" i="18"/>
  <c r="S146" i="18"/>
  <c r="M146" i="18"/>
  <c r="M141" i="18"/>
  <c r="G141" i="18"/>
  <c r="S141" i="18"/>
  <c r="T5" i="4"/>
  <c r="N138" i="18"/>
  <c r="N142" i="18" s="1"/>
  <c r="H143" i="18"/>
  <c r="Z144" i="18"/>
  <c r="H144" i="18"/>
  <c r="N143" i="18"/>
  <c r="H138" i="18"/>
  <c r="H142" i="18" s="1"/>
  <c r="F22" i="18" s="1"/>
  <c r="T143" i="18"/>
  <c r="Z143" i="18"/>
  <c r="T138" i="18"/>
  <c r="T142" i="18" s="1"/>
  <c r="Z138" i="18"/>
  <c r="Z142" i="18" s="1"/>
  <c r="P22" i="18" s="1"/>
  <c r="T144" i="18"/>
  <c r="N144" i="18"/>
  <c r="M139" i="18"/>
  <c r="S139" i="18"/>
  <c r="S144" i="18"/>
  <c r="M143" i="18"/>
  <c r="G138" i="18"/>
  <c r="Y139" i="18"/>
  <c r="Y143" i="18"/>
  <c r="G143" i="18"/>
  <c r="G145" i="18"/>
  <c r="Y144" i="18"/>
  <c r="M138" i="18"/>
  <c r="M144" i="18"/>
  <c r="S143" i="18"/>
  <c r="S145" i="18"/>
  <c r="Y145" i="18"/>
  <c r="S138" i="18"/>
  <c r="M145" i="18"/>
  <c r="G144" i="18"/>
  <c r="G139" i="18"/>
  <c r="Y138" i="18"/>
  <c r="S121" i="18"/>
  <c r="Y121" i="18"/>
  <c r="M122" i="18"/>
  <c r="G123" i="18"/>
  <c r="M121" i="18"/>
  <c r="S122" i="18"/>
  <c r="S116" i="18"/>
  <c r="S123" i="18"/>
  <c r="G122" i="18"/>
  <c r="Y123" i="18"/>
  <c r="G121" i="18"/>
  <c r="Y122" i="18"/>
  <c r="M116" i="18"/>
  <c r="M123" i="18"/>
  <c r="N122" i="18"/>
  <c r="T121" i="18"/>
  <c r="N121" i="18"/>
  <c r="T122" i="18"/>
  <c r="Z121" i="18"/>
  <c r="H122" i="18"/>
  <c r="H121" i="18"/>
  <c r="Z122" i="18"/>
  <c r="H114" i="18"/>
  <c r="H118" i="18" s="1"/>
  <c r="M117" i="18"/>
  <c r="Y115" i="18"/>
  <c r="M115" i="18"/>
  <c r="G115" i="18"/>
  <c r="G117" i="18"/>
  <c r="S115" i="18"/>
  <c r="G114" i="18"/>
  <c r="S117" i="18"/>
  <c r="Z93" i="18"/>
  <c r="Z96" i="18" s="1"/>
  <c r="P14" i="18" s="1"/>
  <c r="H93" i="18"/>
  <c r="H96" i="18" s="1"/>
  <c r="F14" i="18" s="1"/>
  <c r="Z109" i="18"/>
  <c r="Z113" i="18" s="1"/>
  <c r="P17" i="18" s="1"/>
  <c r="N109" i="18"/>
  <c r="N113" i="18" s="1"/>
  <c r="H109" i="18"/>
  <c r="H113" i="18" s="1"/>
  <c r="F17" i="18" s="1"/>
  <c r="T93" i="18"/>
  <c r="T96" i="18" s="1"/>
  <c r="T109" i="18"/>
  <c r="T113" i="18" s="1"/>
  <c r="N93" i="18"/>
  <c r="N96" i="18" s="1"/>
  <c r="T89" i="18"/>
  <c r="T92" i="18" s="1"/>
  <c r="Z89" i="18"/>
  <c r="Z92" i="18" s="1"/>
  <c r="P13" i="18" s="1"/>
  <c r="H89" i="18"/>
  <c r="H92" i="18" s="1"/>
  <c r="F13" i="18" s="1"/>
  <c r="N89" i="18"/>
  <c r="N92" i="18" s="1"/>
  <c r="S94" i="18"/>
  <c r="G93" i="18"/>
  <c r="M110" i="18"/>
  <c r="M112" i="18"/>
  <c r="S112" i="18"/>
  <c r="G109" i="18"/>
  <c r="M94" i="18"/>
  <c r="S93" i="18"/>
  <c r="G110" i="18"/>
  <c r="Y94" i="18"/>
  <c r="M93" i="18"/>
  <c r="S110" i="18"/>
  <c r="M109" i="18"/>
  <c r="Y110" i="18"/>
  <c r="Y93" i="18"/>
  <c r="G112" i="18"/>
  <c r="S109" i="18"/>
  <c r="G94" i="18"/>
  <c r="Y109" i="18"/>
  <c r="M90" i="18"/>
  <c r="S89" i="18"/>
  <c r="Y89" i="18"/>
  <c r="S90" i="18"/>
  <c r="G90" i="18"/>
  <c r="Y90" i="18"/>
  <c r="G89" i="18"/>
  <c r="M89" i="18"/>
  <c r="T88" i="18"/>
  <c r="N88" i="18"/>
  <c r="H88" i="18"/>
  <c r="F12" i="18" s="1"/>
  <c r="Z88" i="18"/>
  <c r="P12" i="18" s="1"/>
  <c r="H80" i="18"/>
  <c r="H84" i="18" s="1"/>
  <c r="F11" i="18" s="1"/>
  <c r="T74" i="18"/>
  <c r="T77" i="18" s="1"/>
  <c r="Z74" i="18"/>
  <c r="Z77" i="18" s="1"/>
  <c r="P10" i="18" s="1"/>
  <c r="H74" i="18"/>
  <c r="H77" i="18" s="1"/>
  <c r="F10" i="18" s="1"/>
  <c r="N74" i="18"/>
  <c r="N77" i="18" s="1"/>
  <c r="N69" i="18"/>
  <c r="N73" i="18" s="1"/>
  <c r="N58" i="18"/>
  <c r="N62" i="18" s="1"/>
  <c r="H69" i="18"/>
  <c r="H73" i="18" s="1"/>
  <c r="F9" i="18" s="1"/>
  <c r="Z69" i="18"/>
  <c r="Z73" i="18" s="1"/>
  <c r="Z62" i="18"/>
  <c r="P7" i="18" s="1"/>
  <c r="T58" i="18"/>
  <c r="T62" i="18" s="1"/>
  <c r="Z65" i="18"/>
  <c r="Z68" i="18" s="1"/>
  <c r="P8" i="18" s="1"/>
  <c r="T69" i="18"/>
  <c r="T73" i="18" s="1"/>
  <c r="H65" i="18"/>
  <c r="H68" i="18" s="1"/>
  <c r="F8" i="18" s="1"/>
  <c r="N65" i="18"/>
  <c r="N68" i="18" s="1"/>
  <c r="T65" i="18"/>
  <c r="T68" i="18" s="1"/>
  <c r="S87" i="18"/>
  <c r="S85" i="18"/>
  <c r="G80" i="18"/>
  <c r="M85" i="18"/>
  <c r="G85" i="18"/>
  <c r="M83" i="18"/>
  <c r="G75" i="18"/>
  <c r="S83" i="18"/>
  <c r="S74" i="18"/>
  <c r="G81" i="18"/>
  <c r="S86" i="18"/>
  <c r="M82" i="18"/>
  <c r="G83" i="18"/>
  <c r="G76" i="18"/>
  <c r="G74" i="18"/>
  <c r="M75" i="18"/>
  <c r="M87" i="18"/>
  <c r="G86" i="18"/>
  <c r="Y86" i="18"/>
  <c r="M81" i="18"/>
  <c r="M76" i="18"/>
  <c r="Y74" i="18"/>
  <c r="S75" i="18"/>
  <c r="Y75" i="18"/>
  <c r="M86" i="18"/>
  <c r="S82" i="18"/>
  <c r="S76" i="18"/>
  <c r="Y81" i="18"/>
  <c r="S81" i="18"/>
  <c r="M74" i="18"/>
  <c r="Y85" i="18"/>
  <c r="G87" i="18"/>
  <c r="G66" i="18"/>
  <c r="M69" i="18"/>
  <c r="S70" i="18"/>
  <c r="M71" i="18"/>
  <c r="Y70" i="18"/>
  <c r="M72" i="18"/>
  <c r="G72" i="18"/>
  <c r="G71" i="18"/>
  <c r="S72" i="18"/>
  <c r="Y66" i="18"/>
  <c r="S58" i="18"/>
  <c r="M70" i="18"/>
  <c r="Y71" i="18"/>
  <c r="Y69" i="18"/>
  <c r="G70" i="18"/>
  <c r="M58" i="18"/>
  <c r="M66" i="18"/>
  <c r="S71" i="18"/>
  <c r="S69" i="18"/>
  <c r="G69" i="18"/>
  <c r="Y65" i="18"/>
  <c r="S66" i="18"/>
  <c r="M65" i="18"/>
  <c r="G65" i="18"/>
  <c r="S65" i="18"/>
  <c r="H58" i="18"/>
  <c r="H62" i="18" s="1"/>
  <c r="F7" i="18" s="1"/>
  <c r="H53" i="18"/>
  <c r="H57" i="18" s="1"/>
  <c r="F6" i="18" s="1"/>
  <c r="G61" i="18"/>
  <c r="S56" i="18"/>
  <c r="G53" i="18"/>
  <c r="S54" i="18"/>
  <c r="G54" i="18"/>
  <c r="M59" i="18"/>
  <c r="M56" i="18"/>
  <c r="M61" i="18"/>
  <c r="Y59" i="18"/>
  <c r="M54" i="18"/>
  <c r="G58" i="18"/>
  <c r="G56" i="18"/>
  <c r="S61" i="18"/>
  <c r="Y55" i="18"/>
  <c r="Y54" i="18"/>
  <c r="G59" i="18"/>
  <c r="S55" i="18"/>
  <c r="M55" i="18"/>
  <c r="S59" i="18"/>
  <c r="Z49" i="18"/>
  <c r="Z52" i="18" s="1"/>
  <c r="P5" i="18" s="1"/>
  <c r="N49" i="18"/>
  <c r="N52" i="18" s="1"/>
  <c r="T49" i="18"/>
  <c r="T52" i="18" s="1"/>
  <c r="Y49" i="18"/>
  <c r="S50" i="18"/>
  <c r="M50" i="18"/>
  <c r="Y50" i="18"/>
  <c r="M49" i="18"/>
  <c r="S49" i="18"/>
  <c r="H42" i="18"/>
  <c r="H46" i="18" s="1"/>
  <c r="F4" i="18" s="1"/>
  <c r="H49" i="18"/>
  <c r="H52" i="18" s="1"/>
  <c r="F5" i="18" s="1"/>
  <c r="G50" i="18"/>
  <c r="G45" i="18"/>
  <c r="S45" i="18"/>
  <c r="M45" i="18"/>
  <c r="G42" i="18"/>
  <c r="S43" i="18"/>
  <c r="G43" i="18"/>
  <c r="Y43" i="18"/>
  <c r="M43" i="18"/>
  <c r="G49" i="18"/>
  <c r="M44" i="18"/>
  <c r="S44" i="18"/>
  <c r="O11" i="2"/>
  <c r="I11" i="2"/>
  <c r="I9" i="2"/>
  <c r="O9" i="2"/>
  <c r="I8" i="2"/>
  <c r="O8" i="2"/>
  <c r="I10" i="2"/>
  <c r="O10" i="2"/>
  <c r="F8" i="2"/>
  <c r="L7" i="2"/>
  <c r="F7" i="2"/>
  <c r="L8" i="2"/>
  <c r="D5" i="4"/>
  <c r="S5" i="4"/>
  <c r="N5" i="4"/>
  <c r="C7" i="2"/>
  <c r="C9" i="2" s="1"/>
  <c r="C10" i="2" s="1"/>
  <c r="I5" i="4"/>
  <c r="I9" i="4"/>
  <c r="S9" i="4"/>
  <c r="D8" i="4"/>
  <c r="T7" i="4"/>
  <c r="I7" i="4"/>
  <c r="S7" i="4"/>
  <c r="N7" i="4"/>
  <c r="S6" i="4"/>
  <c r="I6" i="4"/>
  <c r="I8" i="4"/>
  <c r="S8" i="4"/>
  <c r="D6" i="4"/>
  <c r="N8" i="4"/>
  <c r="T159" i="18" l="1"/>
  <c r="L25" i="18" s="1"/>
  <c r="F18" i="23"/>
  <c r="P18" i="23"/>
  <c r="F38" i="6" s="1"/>
  <c r="F39" i="6" s="1"/>
  <c r="F40" i="6" s="1"/>
  <c r="L18" i="23"/>
  <c r="H18" i="23"/>
  <c r="N18" i="18"/>
  <c r="L18" i="18"/>
  <c r="N22" i="18"/>
  <c r="L22" i="18"/>
  <c r="J22" i="18"/>
  <c r="H22" i="18"/>
  <c r="N26" i="18"/>
  <c r="L26" i="18"/>
  <c r="D28" i="6"/>
  <c r="E28" i="6" s="1"/>
  <c r="P18" i="18"/>
  <c r="J18" i="18"/>
  <c r="V18" i="18" s="1"/>
  <c r="H18" i="18"/>
  <c r="T18" i="18" s="1"/>
  <c r="N17" i="18"/>
  <c r="L17" i="18"/>
  <c r="J26" i="18"/>
  <c r="H26" i="18"/>
  <c r="J27" i="18"/>
  <c r="H27" i="18"/>
  <c r="H31" i="18"/>
  <c r="J31" i="18"/>
  <c r="J32" i="18"/>
  <c r="H32" i="18"/>
  <c r="N32" i="18"/>
  <c r="L32" i="18"/>
  <c r="J18" i="23"/>
  <c r="E38" i="6"/>
  <c r="E39" i="6" s="1"/>
  <c r="E40" i="6" s="1"/>
  <c r="E41" i="6" s="1"/>
  <c r="E42" i="6" s="1"/>
  <c r="E43" i="6" s="1"/>
  <c r="S19" i="23"/>
  <c r="T19" i="23" s="1"/>
  <c r="U19" i="23" s="1"/>
  <c r="V19" i="23" s="1"/>
  <c r="W19" i="23" s="1"/>
  <c r="J17" i="18"/>
  <c r="H17" i="18"/>
  <c r="D33" i="6"/>
  <c r="E33" i="6" s="1"/>
  <c r="F18" i="18"/>
  <c r="L27" i="18"/>
  <c r="N27" i="18"/>
  <c r="N31" i="18"/>
  <c r="L31" i="18"/>
  <c r="N181" i="18"/>
  <c r="N14" i="18"/>
  <c r="L14" i="18"/>
  <c r="J12" i="18"/>
  <c r="H12" i="18"/>
  <c r="N13" i="18"/>
  <c r="L13" i="18"/>
  <c r="N12" i="18"/>
  <c r="L12" i="18"/>
  <c r="J13" i="18"/>
  <c r="H13" i="18"/>
  <c r="J14" i="18"/>
  <c r="H14" i="18"/>
  <c r="H5" i="18"/>
  <c r="J5" i="18"/>
  <c r="L8" i="18"/>
  <c r="N8" i="18"/>
  <c r="H8" i="18"/>
  <c r="J8" i="18"/>
  <c r="N7" i="18"/>
  <c r="L7" i="18"/>
  <c r="H7" i="18"/>
  <c r="J7" i="18"/>
  <c r="H9" i="18"/>
  <c r="J9" i="18"/>
  <c r="L10" i="18"/>
  <c r="N10" i="18"/>
  <c r="N5" i="18"/>
  <c r="L5" i="18"/>
  <c r="N9" i="18"/>
  <c r="L9" i="18"/>
  <c r="R28" i="6"/>
  <c r="P9" i="18"/>
  <c r="H10" i="18"/>
  <c r="J10" i="18"/>
  <c r="S52" i="18"/>
  <c r="AH178" i="23"/>
  <c r="R178" i="23"/>
  <c r="R96" i="23"/>
  <c r="AX178" i="23"/>
  <c r="AW158" i="23"/>
  <c r="AG178" i="23"/>
  <c r="R56" i="23"/>
  <c r="J148" i="23"/>
  <c r="Q158" i="23"/>
  <c r="AP178" i="23"/>
  <c r="AO158" i="23"/>
  <c r="I158" i="23"/>
  <c r="Y178" i="23"/>
  <c r="Q178" i="23"/>
  <c r="AG158" i="23"/>
  <c r="AO178" i="23"/>
  <c r="AW178" i="23"/>
  <c r="Y158" i="23"/>
  <c r="I178" i="23"/>
  <c r="J178" i="23"/>
  <c r="Z178" i="23"/>
  <c r="Z168" i="23"/>
  <c r="Z148" i="23"/>
  <c r="I168" i="23"/>
  <c r="AO168" i="23"/>
  <c r="AO148" i="23"/>
  <c r="I148" i="23"/>
  <c r="Q168" i="23"/>
  <c r="AP148" i="23"/>
  <c r="AX148" i="23"/>
  <c r="AH168" i="23"/>
  <c r="AP168" i="23"/>
  <c r="AW168" i="23"/>
  <c r="AG168" i="23"/>
  <c r="J168" i="23"/>
  <c r="R168" i="23"/>
  <c r="Y148" i="23"/>
  <c r="J56" i="23"/>
  <c r="AW148" i="23"/>
  <c r="Q148" i="23"/>
  <c r="Y168" i="23"/>
  <c r="AG148" i="23"/>
  <c r="AX168" i="23"/>
  <c r="I56" i="23"/>
  <c r="AX56" i="23"/>
  <c r="AO56" i="23"/>
  <c r="Q56" i="23"/>
  <c r="Y56" i="23"/>
  <c r="AG56" i="23"/>
  <c r="AW56" i="23"/>
  <c r="AH56" i="23"/>
  <c r="AX117" i="23"/>
  <c r="J138" i="23"/>
  <c r="AG128" i="23"/>
  <c r="Q128" i="23"/>
  <c r="AW117" i="23"/>
  <c r="AW138" i="23"/>
  <c r="Y138" i="23"/>
  <c r="J117" i="23"/>
  <c r="AP117" i="23"/>
  <c r="Z117" i="23"/>
  <c r="AX138" i="23"/>
  <c r="R138" i="23"/>
  <c r="AO117" i="23"/>
  <c r="Q117" i="23"/>
  <c r="AO128" i="23"/>
  <c r="AW128" i="23"/>
  <c r="J128" i="23"/>
  <c r="AH138" i="23"/>
  <c r="I117" i="23"/>
  <c r="Y117" i="23"/>
  <c r="I138" i="23"/>
  <c r="R128" i="23"/>
  <c r="Z128" i="23"/>
  <c r="AH117" i="23"/>
  <c r="I128" i="23"/>
  <c r="AP128" i="23"/>
  <c r="AW76" i="23"/>
  <c r="AP76" i="23"/>
  <c r="J96" i="23"/>
  <c r="AH86" i="23"/>
  <c r="AG117" i="23"/>
  <c r="Y128" i="23"/>
  <c r="Q138" i="23"/>
  <c r="AO138" i="23"/>
  <c r="AG138" i="23"/>
  <c r="R117" i="23"/>
  <c r="AX128" i="23"/>
  <c r="AH128" i="23"/>
  <c r="Z138" i="23"/>
  <c r="AP138" i="23"/>
  <c r="AG96" i="23"/>
  <c r="AW106" i="23"/>
  <c r="R76" i="23"/>
  <c r="R66" i="23"/>
  <c r="Z66" i="23"/>
  <c r="Z96" i="23"/>
  <c r="AX86" i="23"/>
  <c r="AO46" i="23"/>
  <c r="M4" i="23" s="1"/>
  <c r="M19" i="23" s="1"/>
  <c r="J66" i="23"/>
  <c r="AO76" i="23"/>
  <c r="AO96" i="23"/>
  <c r="AG66" i="23"/>
  <c r="AO66" i="23"/>
  <c r="AG76" i="23"/>
  <c r="Q86" i="23"/>
  <c r="AW96" i="23"/>
  <c r="Q76" i="23"/>
  <c r="I76" i="23"/>
  <c r="Y76" i="23"/>
  <c r="Q66" i="23"/>
  <c r="Y86" i="23"/>
  <c r="Y96" i="23"/>
  <c r="AO86" i="23"/>
  <c r="J76" i="23"/>
  <c r="J86" i="23"/>
  <c r="Z76" i="23"/>
  <c r="AX76" i="23"/>
  <c r="AH76" i="23"/>
  <c r="AP96" i="23"/>
  <c r="AP86" i="23"/>
  <c r="I96" i="23"/>
  <c r="AW86" i="23"/>
  <c r="AG86" i="23"/>
  <c r="AW66" i="23"/>
  <c r="Y66" i="23"/>
  <c r="I86" i="23"/>
  <c r="Q96" i="23"/>
  <c r="AP66" i="23"/>
  <c r="AX66" i="23"/>
  <c r="AH66" i="23"/>
  <c r="AX96" i="23"/>
  <c r="Z181" i="18"/>
  <c r="P29" i="18" s="1"/>
  <c r="Y181" i="18"/>
  <c r="O29" i="18" s="1"/>
  <c r="Y106" i="23"/>
  <c r="I36" i="23"/>
  <c r="E3" i="23" s="1"/>
  <c r="Q36" i="23"/>
  <c r="G3" i="23" s="1"/>
  <c r="AO106" i="23"/>
  <c r="Q46" i="23"/>
  <c r="G4" i="23" s="1"/>
  <c r="G19" i="23" s="1"/>
  <c r="AG36" i="23"/>
  <c r="K3" i="23" s="1"/>
  <c r="AW36" i="23"/>
  <c r="O3" i="23" s="1"/>
  <c r="Y36" i="23"/>
  <c r="I3" i="23" s="1"/>
  <c r="AG106" i="23"/>
  <c r="D30" i="6"/>
  <c r="E30" i="6" s="1"/>
  <c r="D29" i="6"/>
  <c r="E29" i="6" s="1"/>
  <c r="D32" i="6"/>
  <c r="E32" i="6" s="1"/>
  <c r="D31" i="6"/>
  <c r="E31" i="6" s="1"/>
  <c r="I66" i="23"/>
  <c r="I46" i="23"/>
  <c r="E4" i="23" s="1"/>
  <c r="E19" i="23" s="1"/>
  <c r="AW46" i="23"/>
  <c r="O4" i="23" s="1"/>
  <c r="O19" i="23" s="1"/>
  <c r="AO36" i="23"/>
  <c r="M3" i="23" s="1"/>
  <c r="M18" i="23" s="1"/>
  <c r="Y46" i="23"/>
  <c r="I4" i="23" s="1"/>
  <c r="I19" i="23" s="1"/>
  <c r="I106" i="23"/>
  <c r="Q106" i="23"/>
  <c r="AG46" i="23"/>
  <c r="K4" i="23" s="1"/>
  <c r="K19" i="23" s="1"/>
  <c r="M181" i="18"/>
  <c r="S181" i="18"/>
  <c r="T181" i="18"/>
  <c r="G181" i="18"/>
  <c r="E29" i="18" s="1"/>
  <c r="T10" i="4"/>
  <c r="H23" i="22"/>
  <c r="G277" i="9" s="1"/>
  <c r="H21" i="22"/>
  <c r="P23" i="22"/>
  <c r="P21" i="22"/>
  <c r="L21" i="22"/>
  <c r="L23" i="22"/>
  <c r="J21" i="22"/>
  <c r="J23" i="22"/>
  <c r="G276" i="9" s="1"/>
  <c r="F23" i="22"/>
  <c r="G278" i="9" s="1"/>
  <c r="F21" i="22"/>
  <c r="N23" i="22"/>
  <c r="G274" i="9" s="1"/>
  <c r="N21" i="22"/>
  <c r="S130" i="18"/>
  <c r="T130" i="18"/>
  <c r="M130" i="18"/>
  <c r="Y130" i="18"/>
  <c r="O20" i="18" s="1"/>
  <c r="G130" i="18"/>
  <c r="E20" i="18" s="1"/>
  <c r="Z130" i="18"/>
  <c r="P20" i="18" s="1"/>
  <c r="S103" i="18"/>
  <c r="H130" i="18"/>
  <c r="F20" i="18" s="1"/>
  <c r="N130" i="18"/>
  <c r="M103" i="18"/>
  <c r="N125" i="18"/>
  <c r="Y96" i="18"/>
  <c r="O14" i="18" s="1"/>
  <c r="Y103" i="18"/>
  <c r="O15" i="18" s="1"/>
  <c r="H125" i="18"/>
  <c r="F19" i="18" s="1"/>
  <c r="G103" i="18"/>
  <c r="E15" i="18" s="1"/>
  <c r="Y125" i="18"/>
  <c r="O19" i="18" s="1"/>
  <c r="M125" i="18"/>
  <c r="S125" i="18"/>
  <c r="T125" i="18"/>
  <c r="Z125" i="18"/>
  <c r="P19" i="18" s="1"/>
  <c r="G125" i="18"/>
  <c r="E19" i="18" s="1"/>
  <c r="G68" i="18"/>
  <c r="E8" i="18" s="1"/>
  <c r="Z159" i="18"/>
  <c r="P25" i="18" s="1"/>
  <c r="Y88" i="18"/>
  <c r="O12" i="18" s="1"/>
  <c r="G193" i="18"/>
  <c r="E31" i="18" s="1"/>
  <c r="M198" i="18"/>
  <c r="H176" i="18"/>
  <c r="F28" i="18" s="1"/>
  <c r="T176" i="18"/>
  <c r="Y193" i="18"/>
  <c r="O31" i="18" s="1"/>
  <c r="M193" i="18"/>
  <c r="S198" i="18"/>
  <c r="G198" i="18"/>
  <c r="E32" i="18" s="1"/>
  <c r="S193" i="18"/>
  <c r="Y198" i="18"/>
  <c r="O32" i="18" s="1"/>
  <c r="G176" i="18"/>
  <c r="E28" i="18" s="1"/>
  <c r="Z176" i="18"/>
  <c r="P28" i="18" s="1"/>
  <c r="M176" i="18"/>
  <c r="S186" i="18"/>
  <c r="G186" i="18"/>
  <c r="E30" i="18" s="1"/>
  <c r="Y176" i="18"/>
  <c r="O28" i="18" s="1"/>
  <c r="S176" i="18"/>
  <c r="N176" i="18"/>
  <c r="G164" i="18"/>
  <c r="E26" i="18" s="1"/>
  <c r="M186" i="18"/>
  <c r="Z186" i="18"/>
  <c r="P30" i="18" s="1"/>
  <c r="Y169" i="18"/>
  <c r="O27" i="18" s="1"/>
  <c r="N186" i="18"/>
  <c r="T186" i="18"/>
  <c r="H186" i="18"/>
  <c r="F30" i="18" s="1"/>
  <c r="Y186" i="18"/>
  <c r="M169" i="18"/>
  <c r="Z147" i="18"/>
  <c r="P23" i="18" s="1"/>
  <c r="M159" i="18"/>
  <c r="G159" i="18"/>
  <c r="E25" i="18" s="1"/>
  <c r="S135" i="18"/>
  <c r="M164" i="18"/>
  <c r="S169" i="18"/>
  <c r="S164" i="18"/>
  <c r="Y164" i="18"/>
  <c r="O26" i="18" s="1"/>
  <c r="G135" i="18"/>
  <c r="E21" i="18" s="1"/>
  <c r="M135" i="18"/>
  <c r="Z135" i="18"/>
  <c r="P21" i="18" s="1"/>
  <c r="N159" i="18"/>
  <c r="S159" i="18"/>
  <c r="Y159" i="18"/>
  <c r="O25" i="18" s="1"/>
  <c r="Y135" i="18"/>
  <c r="O21" i="18" s="1"/>
  <c r="H135" i="18"/>
  <c r="F21" i="18" s="1"/>
  <c r="N135" i="18"/>
  <c r="H159" i="18"/>
  <c r="F25" i="18" s="1"/>
  <c r="T135" i="18"/>
  <c r="N147" i="18"/>
  <c r="G152" i="18"/>
  <c r="E24" i="18" s="1"/>
  <c r="M152" i="18"/>
  <c r="S142" i="18"/>
  <c r="Y152" i="18"/>
  <c r="O24" i="18" s="1"/>
  <c r="S152" i="18"/>
  <c r="M147" i="18"/>
  <c r="M142" i="18"/>
  <c r="Y147" i="18"/>
  <c r="O23" i="18" s="1"/>
  <c r="T147" i="18"/>
  <c r="S147" i="18"/>
  <c r="H147" i="18"/>
  <c r="F23" i="18" s="1"/>
  <c r="G147" i="18"/>
  <c r="E23" i="18" s="1"/>
  <c r="G142" i="18"/>
  <c r="E22" i="18" s="1"/>
  <c r="M118" i="18"/>
  <c r="Y142" i="18"/>
  <c r="O22" i="18" s="1"/>
  <c r="C14" i="2"/>
  <c r="S118" i="18"/>
  <c r="S96" i="18"/>
  <c r="S92" i="18"/>
  <c r="G96" i="18"/>
  <c r="E14" i="18" s="1"/>
  <c r="S113" i="18"/>
  <c r="Y118" i="18"/>
  <c r="O18" i="18" s="1"/>
  <c r="G118" i="18"/>
  <c r="E18" i="18" s="1"/>
  <c r="M113" i="18"/>
  <c r="M52" i="18"/>
  <c r="S62" i="18"/>
  <c r="Y73" i="18"/>
  <c r="O9" i="18" s="1"/>
  <c r="M84" i="18"/>
  <c r="M88" i="18"/>
  <c r="M92" i="18"/>
  <c r="Y113" i="18"/>
  <c r="O17" i="18" s="1"/>
  <c r="M96" i="18"/>
  <c r="G113" i="18"/>
  <c r="E17" i="18" s="1"/>
  <c r="G92" i="18"/>
  <c r="E13" i="18" s="1"/>
  <c r="Y92" i="18"/>
  <c r="O13" i="18" s="1"/>
  <c r="G73" i="18"/>
  <c r="E9" i="18" s="1"/>
  <c r="M62" i="18"/>
  <c r="G77" i="18"/>
  <c r="E10" i="18" s="1"/>
  <c r="Y68" i="18"/>
  <c r="O8" i="18" s="1"/>
  <c r="M73" i="18"/>
  <c r="Y62" i="18"/>
  <c r="O7" i="18" s="1"/>
  <c r="M77" i="18"/>
  <c r="S84" i="18"/>
  <c r="Y77" i="18"/>
  <c r="O10" i="18" s="1"/>
  <c r="S88" i="18"/>
  <c r="Y57" i="18"/>
  <c r="O6" i="18" s="1"/>
  <c r="S68" i="18"/>
  <c r="G57" i="18"/>
  <c r="E6" i="18" s="1"/>
  <c r="M68" i="18"/>
  <c r="S73" i="18"/>
  <c r="Y84" i="18"/>
  <c r="O11" i="18" s="1"/>
  <c r="G84" i="18"/>
  <c r="E11" i="18" s="1"/>
  <c r="S77" i="18"/>
  <c r="G88" i="18"/>
  <c r="E12" i="18" s="1"/>
  <c r="M57" i="18"/>
  <c r="G52" i="18"/>
  <c r="E5" i="18" s="1"/>
  <c r="S57" i="18"/>
  <c r="Y52" i="18"/>
  <c r="O5" i="18" s="1"/>
  <c r="G62" i="18"/>
  <c r="E7" i="18" s="1"/>
  <c r="S46" i="18"/>
  <c r="M46" i="18"/>
  <c r="G46" i="18"/>
  <c r="E4" i="18" s="1"/>
  <c r="O12" i="2"/>
  <c r="O13" i="2" s="1"/>
  <c r="O14" i="2" s="1"/>
  <c r="I12" i="2"/>
  <c r="I13" i="2" s="1"/>
  <c r="I14" i="2" s="1"/>
  <c r="L9" i="2"/>
  <c r="L10" i="2" s="1"/>
  <c r="L11" i="2" s="1"/>
  <c r="O12" i="4"/>
  <c r="M18" i="4" s="1"/>
  <c r="M19" i="4" s="1"/>
  <c r="G275" i="9"/>
  <c r="F9" i="2"/>
  <c r="F10" i="2" s="1"/>
  <c r="F13" i="2" s="1"/>
  <c r="S10" i="4"/>
  <c r="S12" i="4" s="1"/>
  <c r="I10" i="4"/>
  <c r="I12" i="4" s="1"/>
  <c r="N10" i="4"/>
  <c r="N12" i="4" s="1"/>
  <c r="D9" i="4"/>
  <c r="D11" i="4" s="1"/>
  <c r="X18" i="18" l="1"/>
  <c r="Z18" i="18"/>
  <c r="N25" i="18"/>
  <c r="I18" i="23"/>
  <c r="G18" i="23"/>
  <c r="N21" i="18"/>
  <c r="L21" i="18"/>
  <c r="J20" i="18"/>
  <c r="H20" i="18"/>
  <c r="O18" i="23"/>
  <c r="J29" i="18"/>
  <c r="H29" i="18"/>
  <c r="N29" i="18"/>
  <c r="L29" i="18"/>
  <c r="N23" i="18"/>
  <c r="L23" i="18"/>
  <c r="J21" i="18"/>
  <c r="H21" i="18"/>
  <c r="N30" i="18"/>
  <c r="L30" i="18"/>
  <c r="N28" i="18"/>
  <c r="L28" i="18"/>
  <c r="K18" i="23"/>
  <c r="E18" i="23"/>
  <c r="F41" i="6"/>
  <c r="F42" i="6" s="1"/>
  <c r="F43" i="6" s="1"/>
  <c r="H28" i="18"/>
  <c r="J28" i="18"/>
  <c r="N20" i="18"/>
  <c r="L20" i="18"/>
  <c r="H23" i="18"/>
  <c r="J23" i="18"/>
  <c r="J25" i="18"/>
  <c r="H25" i="18"/>
  <c r="J30" i="18"/>
  <c r="H30" i="18"/>
  <c r="N19" i="18"/>
  <c r="L19" i="18"/>
  <c r="J19" i="18"/>
  <c r="H19" i="18"/>
  <c r="K25" i="18"/>
  <c r="M25" i="18"/>
  <c r="G30" i="18"/>
  <c r="I30" i="18"/>
  <c r="G29" i="18"/>
  <c r="I29" i="18"/>
  <c r="G27" i="18"/>
  <c r="I27" i="18"/>
  <c r="K32" i="18"/>
  <c r="M32" i="18"/>
  <c r="K26" i="18"/>
  <c r="M26" i="18"/>
  <c r="AB182" i="18"/>
  <c r="AB183" i="18" s="1"/>
  <c r="O30" i="18"/>
  <c r="K30" i="18"/>
  <c r="M30" i="18"/>
  <c r="I31" i="18"/>
  <c r="G31" i="18"/>
  <c r="G32" i="18"/>
  <c r="I32" i="18"/>
  <c r="K27" i="18"/>
  <c r="M27" i="18"/>
  <c r="K28" i="18"/>
  <c r="M28" i="18"/>
  <c r="G28" i="18"/>
  <c r="I28" i="18"/>
  <c r="K31" i="18"/>
  <c r="M31" i="18"/>
  <c r="M29" i="18"/>
  <c r="K29" i="18"/>
  <c r="M24" i="18"/>
  <c r="K24" i="18"/>
  <c r="I26" i="18"/>
  <c r="G26" i="18"/>
  <c r="G22" i="18"/>
  <c r="I22" i="18"/>
  <c r="K22" i="18"/>
  <c r="M22" i="18"/>
  <c r="M23" i="18"/>
  <c r="K23" i="18"/>
  <c r="G23" i="18"/>
  <c r="I23" i="18"/>
  <c r="G24" i="18"/>
  <c r="I24" i="18"/>
  <c r="G25" i="18"/>
  <c r="I25" i="18"/>
  <c r="K21" i="18"/>
  <c r="M21" i="18"/>
  <c r="G20" i="18"/>
  <c r="I20" i="18"/>
  <c r="K19" i="18"/>
  <c r="M19" i="18"/>
  <c r="G21" i="18"/>
  <c r="I21" i="18"/>
  <c r="I19" i="18"/>
  <c r="G19" i="18"/>
  <c r="M20" i="18"/>
  <c r="K20" i="18"/>
  <c r="I14" i="18"/>
  <c r="G14" i="18"/>
  <c r="I13" i="18"/>
  <c r="G13" i="18"/>
  <c r="M14" i="18"/>
  <c r="K14" i="18"/>
  <c r="G18" i="18"/>
  <c r="S18" i="18" s="1"/>
  <c r="I18" i="18"/>
  <c r="U18" i="18" s="1"/>
  <c r="M12" i="18"/>
  <c r="K12" i="18"/>
  <c r="I12" i="18"/>
  <c r="G12" i="18"/>
  <c r="K17" i="18"/>
  <c r="M17" i="18"/>
  <c r="K18" i="18"/>
  <c r="M18" i="18"/>
  <c r="I11" i="18"/>
  <c r="G11" i="18"/>
  <c r="G17" i="18"/>
  <c r="I17" i="18"/>
  <c r="K15" i="18"/>
  <c r="M15" i="18"/>
  <c r="M11" i="18"/>
  <c r="K11" i="18"/>
  <c r="M13" i="18"/>
  <c r="K13" i="18"/>
  <c r="I15" i="18"/>
  <c r="G15" i="18"/>
  <c r="M9" i="18"/>
  <c r="K9" i="18"/>
  <c r="I10" i="18"/>
  <c r="G10" i="18"/>
  <c r="K7" i="18"/>
  <c r="M7" i="18"/>
  <c r="G4" i="18"/>
  <c r="I4" i="18"/>
  <c r="K6" i="18"/>
  <c r="M6" i="18"/>
  <c r="K10" i="18"/>
  <c r="M10" i="18"/>
  <c r="G8" i="18"/>
  <c r="I8" i="18"/>
  <c r="I7" i="18"/>
  <c r="G7" i="18"/>
  <c r="I5" i="18"/>
  <c r="G5" i="18"/>
  <c r="K5" i="18"/>
  <c r="M5" i="18"/>
  <c r="K4" i="18"/>
  <c r="M4" i="18"/>
  <c r="I9" i="18"/>
  <c r="G9" i="18"/>
  <c r="I6" i="18"/>
  <c r="G6" i="18"/>
  <c r="K8" i="18"/>
  <c r="M8" i="18"/>
  <c r="T12" i="4"/>
  <c r="R18" i="4" s="1"/>
  <c r="R19" i="4" s="1"/>
  <c r="G273" i="9"/>
  <c r="C11" i="2"/>
  <c r="R275" i="9"/>
  <c r="H72" i="7" s="1"/>
  <c r="H61" i="7"/>
  <c r="R274" i="9"/>
  <c r="H71" i="7" s="1"/>
  <c r="H60" i="7"/>
  <c r="R277" i="9"/>
  <c r="H74" i="7" s="1"/>
  <c r="H63" i="7"/>
  <c r="R276" i="9"/>
  <c r="H73" i="7" s="1"/>
  <c r="H62" i="7"/>
  <c r="R278" i="9"/>
  <c r="H75" i="7" s="1"/>
  <c r="H64" i="7"/>
  <c r="I16" i="2"/>
  <c r="I17" i="2" s="1"/>
  <c r="F14" i="2"/>
  <c r="F11" i="2"/>
  <c r="Y18" i="18" l="1"/>
  <c r="W18" i="18"/>
  <c r="I12" i="5"/>
  <c r="I13" i="5"/>
  <c r="I11" i="5"/>
  <c r="I9" i="5"/>
  <c r="J9" i="5" s="1"/>
  <c r="I10" i="5"/>
  <c r="I14" i="5"/>
  <c r="R30" i="18"/>
  <c r="U30" i="18" s="1"/>
  <c r="J28" i="6" s="1"/>
  <c r="R273" i="9"/>
  <c r="H70" i="7" s="1"/>
  <c r="H59" i="7"/>
  <c r="J10" i="5" l="1"/>
  <c r="J11" i="5" s="1"/>
  <c r="X5" i="9"/>
  <c r="B209" i="9" s="1"/>
  <c r="D209" i="9" s="1"/>
  <c r="B207" i="9"/>
  <c r="D207" i="9" s="1"/>
  <c r="B276" i="9"/>
  <c r="M276" i="9" s="1"/>
  <c r="C73" i="7" s="1"/>
  <c r="AL19" i="11"/>
  <c r="J12" i="5" l="1"/>
  <c r="J13" i="5" s="1"/>
  <c r="J14" i="5" s="1"/>
  <c r="O10" i="5"/>
  <c r="O7" i="5"/>
  <c r="O8" i="5"/>
  <c r="O6" i="5"/>
  <c r="O9" i="5"/>
  <c r="O5" i="5"/>
  <c r="B123" i="9"/>
  <c r="D123" i="9" s="1"/>
  <c r="B37" i="9"/>
  <c r="D37" i="9" s="1"/>
  <c r="B80" i="9"/>
  <c r="D80" i="9" s="1"/>
  <c r="F80" i="9" s="1"/>
  <c r="G80" i="9" s="1"/>
  <c r="B121" i="9"/>
  <c r="D121" i="9" s="1"/>
  <c r="B166" i="9"/>
  <c r="D166" i="9" s="1"/>
  <c r="B78" i="9"/>
  <c r="D78" i="9" s="1"/>
  <c r="F78" i="9" s="1"/>
  <c r="G78" i="9" s="1"/>
  <c r="B164" i="9"/>
  <c r="D164" i="9" s="1"/>
  <c r="B35" i="9"/>
  <c r="D35" i="9" s="1"/>
  <c r="J35" i="9" s="1"/>
  <c r="K35" i="9" s="1"/>
  <c r="B249" i="9"/>
  <c r="D249" i="9" s="1"/>
  <c r="J249" i="9" s="1"/>
  <c r="K249" i="9" s="1"/>
  <c r="F249" i="9"/>
  <c r="G249" i="9" s="1"/>
  <c r="F209" i="9"/>
  <c r="G209" i="9" s="1"/>
  <c r="J209" i="9"/>
  <c r="K209" i="9" s="1"/>
  <c r="J37" i="9"/>
  <c r="K37" i="9" s="1"/>
  <c r="F37" i="9"/>
  <c r="G37" i="9" s="1"/>
  <c r="F166" i="9"/>
  <c r="G166" i="9" s="1"/>
  <c r="J166" i="9"/>
  <c r="K166" i="9" s="1"/>
  <c r="F123" i="9"/>
  <c r="G123" i="9" s="1"/>
  <c r="J123" i="9"/>
  <c r="K123" i="9" s="1"/>
  <c r="F207" i="9"/>
  <c r="G207" i="9" s="1"/>
  <c r="H206" i="9" s="1"/>
  <c r="N178" i="9" s="1"/>
  <c r="J207" i="9"/>
  <c r="K207" i="9" s="1"/>
  <c r="F121" i="9"/>
  <c r="G121" i="9" s="1"/>
  <c r="H120" i="9" s="1"/>
  <c r="N92" i="9" s="1"/>
  <c r="J121" i="9"/>
  <c r="K121" i="9" s="1"/>
  <c r="L120" i="9" s="1"/>
  <c r="F164" i="9"/>
  <c r="G164" i="9" s="1"/>
  <c r="J164" i="9"/>
  <c r="K164" i="9" s="1"/>
  <c r="C62" i="7"/>
  <c r="B278" i="9"/>
  <c r="M278" i="9" s="1"/>
  <c r="C75" i="7" s="1"/>
  <c r="AL21" i="11"/>
  <c r="C273" i="9"/>
  <c r="AL16" i="11"/>
  <c r="B275" i="9"/>
  <c r="M275" i="9" s="1"/>
  <c r="C72" i="7" s="1"/>
  <c r="AL18" i="11"/>
  <c r="AO19" i="11"/>
  <c r="AQ19" i="11" s="1"/>
  <c r="AN19" i="11"/>
  <c r="B277" i="9"/>
  <c r="M277" i="9" s="1"/>
  <c r="C74" i="7" s="1"/>
  <c r="AL20" i="11"/>
  <c r="B274" i="9"/>
  <c r="C60" i="7" s="1"/>
  <c r="AL17" i="11"/>
  <c r="C61" i="7"/>
  <c r="B273" i="9"/>
  <c r="M273" i="9" s="1"/>
  <c r="O11" i="5" l="1"/>
  <c r="J15" i="5"/>
  <c r="O13" i="5"/>
  <c r="O12" i="5"/>
  <c r="J80" i="9"/>
  <c r="K80" i="9" s="1"/>
  <c r="F35" i="9"/>
  <c r="G35" i="9" s="1"/>
  <c r="J78" i="9"/>
  <c r="K78" i="9" s="1"/>
  <c r="L34" i="9"/>
  <c r="AC113" i="11" s="1"/>
  <c r="AC121" i="11" s="1"/>
  <c r="H34" i="9"/>
  <c r="N6" i="9" s="1"/>
  <c r="H77" i="9"/>
  <c r="N49" i="9" s="1"/>
  <c r="L206" i="9"/>
  <c r="N179" i="9"/>
  <c r="H163" i="9"/>
  <c r="N135" i="9" s="1"/>
  <c r="L163" i="9"/>
  <c r="L77" i="9"/>
  <c r="AC71" i="11"/>
  <c r="AC79" i="11" s="1"/>
  <c r="L121" i="9"/>
  <c r="P92" i="9"/>
  <c r="H35" i="9"/>
  <c r="N93" i="9"/>
  <c r="C64" i="7"/>
  <c r="C63" i="7"/>
  <c r="C5" i="6"/>
  <c r="M274" i="9"/>
  <c r="C71" i="7" s="1"/>
  <c r="AN17" i="11"/>
  <c r="AO17" i="11"/>
  <c r="AQ17" i="11" s="1"/>
  <c r="AN16" i="11"/>
  <c r="AO16" i="11"/>
  <c r="AQ16" i="11" s="1"/>
  <c r="AN20" i="11"/>
  <c r="AO20" i="11"/>
  <c r="AQ20" i="11" s="1"/>
  <c r="AO18" i="11"/>
  <c r="AQ18" i="11" s="1"/>
  <c r="AN18" i="11"/>
  <c r="AN21" i="11"/>
  <c r="AO21" i="11"/>
  <c r="AQ21" i="11" s="1"/>
  <c r="C59" i="7"/>
  <c r="N273" i="9"/>
  <c r="D59" i="7"/>
  <c r="F59" i="7" s="1"/>
  <c r="C70" i="7"/>
  <c r="E5" i="6" l="1"/>
  <c r="C17" i="6"/>
  <c r="I17" i="6" s="1"/>
  <c r="O14" i="5"/>
  <c r="O15" i="5"/>
  <c r="O16" i="5"/>
  <c r="P6" i="9"/>
  <c r="L35" i="9"/>
  <c r="N50" i="9"/>
  <c r="C263" i="9"/>
  <c r="P7" i="9"/>
  <c r="N136" i="9"/>
  <c r="AL5" i="11"/>
  <c r="B287" i="9"/>
  <c r="D274" i="9"/>
  <c r="B290" i="9"/>
  <c r="AL8" i="11"/>
  <c r="D277" i="9"/>
  <c r="P93" i="9"/>
  <c r="C265" i="9"/>
  <c r="D275" i="9"/>
  <c r="B288" i="9"/>
  <c r="AL6" i="11"/>
  <c r="AG79" i="11"/>
  <c r="AC81" i="11"/>
  <c r="AC123" i="11"/>
  <c r="AG121" i="11"/>
  <c r="N7" i="9"/>
  <c r="AC92" i="11"/>
  <c r="AC100" i="11" s="1"/>
  <c r="L78" i="9"/>
  <c r="P49" i="9"/>
  <c r="AC50" i="11"/>
  <c r="AC58" i="11" s="1"/>
  <c r="L164" i="9"/>
  <c r="P135" i="9"/>
  <c r="AC29" i="11"/>
  <c r="AC37" i="11" s="1"/>
  <c r="L207" i="9"/>
  <c r="P178" i="9"/>
  <c r="D17" i="6"/>
  <c r="J17" i="6" s="1"/>
  <c r="C8" i="6"/>
  <c r="C7" i="6"/>
  <c r="C6" i="6"/>
  <c r="C274" i="9"/>
  <c r="C275" i="9"/>
  <c r="D61" i="7" s="1"/>
  <c r="F61" i="7" s="1"/>
  <c r="D70" i="7"/>
  <c r="F70" i="7" s="1"/>
  <c r="E7" i="6" l="1"/>
  <c r="D19" i="6"/>
  <c r="J19" i="6" s="1"/>
  <c r="C277" i="9"/>
  <c r="E277" i="9" s="1"/>
  <c r="AC83" i="11"/>
  <c r="AG83" i="11" s="1"/>
  <c r="AG81" i="11"/>
  <c r="AH75" i="11" s="1"/>
  <c r="AG37" i="11"/>
  <c r="AC39" i="11"/>
  <c r="P50" i="9"/>
  <c r="C264" i="9"/>
  <c r="D273" i="9"/>
  <c r="E273" i="9" s="1"/>
  <c r="AL4" i="11"/>
  <c r="B289" i="9"/>
  <c r="AL7" i="11"/>
  <c r="D276" i="9"/>
  <c r="P136" i="9"/>
  <c r="C266" i="9"/>
  <c r="C288" i="9"/>
  <c r="F288" i="9" s="1"/>
  <c r="AM6" i="11"/>
  <c r="O275" i="9"/>
  <c r="AG58" i="11"/>
  <c r="AC60" i="11"/>
  <c r="P179" i="9"/>
  <c r="C267" i="9"/>
  <c r="AC102" i="11"/>
  <c r="AG100" i="11"/>
  <c r="AC125" i="11"/>
  <c r="AG125" i="11" s="1"/>
  <c r="AG123" i="11"/>
  <c r="AH117" i="11" s="1"/>
  <c r="C286" i="9"/>
  <c r="O273" i="9"/>
  <c r="P273" i="9" s="1"/>
  <c r="AM4" i="11"/>
  <c r="N275" i="9"/>
  <c r="D72" i="7" s="1"/>
  <c r="F72" i="7" s="1"/>
  <c r="C276" i="9"/>
  <c r="D62" i="7" s="1"/>
  <c r="F62" i="7" s="1"/>
  <c r="C20" i="6"/>
  <c r="I20" i="6" s="1"/>
  <c r="E288" i="9"/>
  <c r="G288" i="9" s="1"/>
  <c r="C19" i="6"/>
  <c r="I19" i="6" s="1"/>
  <c r="E275" i="9"/>
  <c r="N274" i="9"/>
  <c r="E274" i="9"/>
  <c r="D60" i="7"/>
  <c r="F60" i="7" s="1"/>
  <c r="E287" i="9"/>
  <c r="G287" i="9" s="1"/>
  <c r="C18" i="6"/>
  <c r="I18" i="6" s="1"/>
  <c r="C10" i="6"/>
  <c r="E10" i="6" s="1"/>
  <c r="C9" i="6"/>
  <c r="N277" i="9"/>
  <c r="D63" i="7"/>
  <c r="F63" i="7" s="1"/>
  <c r="E290" i="9"/>
  <c r="G290" i="9" s="1"/>
  <c r="E8" i="6"/>
  <c r="D20" i="6"/>
  <c r="J20" i="6" s="1"/>
  <c r="E19" i="6" l="1"/>
  <c r="K19" i="6" s="1"/>
  <c r="C40" i="6" s="1"/>
  <c r="E9" i="6"/>
  <c r="E17" i="6"/>
  <c r="K17" i="6" s="1"/>
  <c r="C38" i="6" s="1"/>
  <c r="F5" i="6"/>
  <c r="E276" i="9"/>
  <c r="AN4" i="11"/>
  <c r="AR4" i="11" s="1"/>
  <c r="AH119" i="11"/>
  <c r="AC41" i="11"/>
  <c r="AG41" i="11" s="1"/>
  <c r="AG39" i="11"/>
  <c r="AH33" i="11" s="1"/>
  <c r="AC62" i="11"/>
  <c r="AG62" i="11" s="1"/>
  <c r="AG60" i="11"/>
  <c r="AH54" i="11" s="1"/>
  <c r="B292" i="9"/>
  <c r="E286" i="9"/>
  <c r="O274" i="9"/>
  <c r="C287" i="9"/>
  <c r="F287" i="9" s="1"/>
  <c r="H287" i="9" s="1"/>
  <c r="AM5" i="11"/>
  <c r="AH77" i="11"/>
  <c r="AN6" i="11"/>
  <c r="AR6" i="11" s="1"/>
  <c r="O277" i="9"/>
  <c r="P277" i="9" s="1"/>
  <c r="AM8" i="11"/>
  <c r="C290" i="9"/>
  <c r="F290" i="9" s="1"/>
  <c r="AM7" i="11"/>
  <c r="O276" i="9"/>
  <c r="C289" i="9"/>
  <c r="F286" i="9"/>
  <c r="H286" i="9" s="1"/>
  <c r="AC104" i="11"/>
  <c r="AG104" i="11" s="1"/>
  <c r="AG102" i="11"/>
  <c r="AH96" i="11" s="1"/>
  <c r="N276" i="9"/>
  <c r="D73" i="7" s="1"/>
  <c r="F73" i="7" s="1"/>
  <c r="E289" i="9"/>
  <c r="G289" i="9" s="1"/>
  <c r="I290" i="9" s="1"/>
  <c r="P275" i="9"/>
  <c r="H288" i="9"/>
  <c r="I288" i="9"/>
  <c r="E6" i="6"/>
  <c r="D18" i="6"/>
  <c r="J18" i="6" s="1"/>
  <c r="D71" i="7"/>
  <c r="F71" i="7" s="1"/>
  <c r="P274" i="9"/>
  <c r="C21" i="6"/>
  <c r="I21" i="6" s="1"/>
  <c r="C278" i="9"/>
  <c r="E11" i="6"/>
  <c r="C22" i="6"/>
  <c r="I22" i="6" s="1"/>
  <c r="D74" i="7"/>
  <c r="F74" i="7" s="1"/>
  <c r="E20" i="6"/>
  <c r="K20" i="6" s="1"/>
  <c r="C41" i="6" s="1"/>
  <c r="F8" i="6"/>
  <c r="D21" i="6"/>
  <c r="J21" i="6" s="1"/>
  <c r="D22" i="6"/>
  <c r="J22" i="6" s="1"/>
  <c r="M29" i="6" l="1"/>
  <c r="P29" i="6" s="1"/>
  <c r="Q29" i="6" s="1"/>
  <c r="M32" i="6"/>
  <c r="P32" i="6" s="1"/>
  <c r="Q32" i="6" s="1"/>
  <c r="G286" i="9"/>
  <c r="I287" i="9" s="1"/>
  <c r="F17" i="6"/>
  <c r="L17" i="6" s="1"/>
  <c r="C28" i="6" s="1"/>
  <c r="F28" i="6" s="1"/>
  <c r="G28" i="6" s="1"/>
  <c r="G5" i="6"/>
  <c r="D38" i="6" s="1"/>
  <c r="F291" i="9"/>
  <c r="C279" i="9"/>
  <c r="P276" i="9"/>
  <c r="C292" i="9"/>
  <c r="H290" i="9"/>
  <c r="J287" i="9"/>
  <c r="AN8" i="11"/>
  <c r="AR8" i="11" s="1"/>
  <c r="AH35" i="11"/>
  <c r="F289" i="9"/>
  <c r="H289" i="9" s="1"/>
  <c r="AH98" i="11"/>
  <c r="AN5" i="11"/>
  <c r="AR5" i="11" s="1"/>
  <c r="AH56" i="11"/>
  <c r="AN7" i="11"/>
  <c r="AR7" i="11" s="1"/>
  <c r="I289" i="9"/>
  <c r="D64" i="7"/>
  <c r="F64" i="7" s="1"/>
  <c r="G64" i="7" s="1"/>
  <c r="G63" i="7" s="1"/>
  <c r="G62" i="7" s="1"/>
  <c r="J288" i="9"/>
  <c r="E291" i="9"/>
  <c r="G291" i="9" s="1"/>
  <c r="E18" i="6"/>
  <c r="K18" i="6" s="1"/>
  <c r="C39" i="6" s="1"/>
  <c r="F6" i="6"/>
  <c r="F7" i="6"/>
  <c r="E278" i="9"/>
  <c r="F278" i="9" s="1"/>
  <c r="N278" i="9"/>
  <c r="P278" i="9" s="1"/>
  <c r="Q278" i="9" s="1"/>
  <c r="E23" i="6"/>
  <c r="K23" i="6" s="1"/>
  <c r="C44" i="6" s="1"/>
  <c r="C49" i="6" s="1"/>
  <c r="F20" i="6"/>
  <c r="L20" i="6" s="1"/>
  <c r="C31" i="6" s="1"/>
  <c r="F31" i="6" s="1"/>
  <c r="G31" i="6" s="1"/>
  <c r="F10" i="6"/>
  <c r="E22" i="6"/>
  <c r="K22" i="6" s="1"/>
  <c r="C43" i="6" s="1"/>
  <c r="C47" i="6" s="1"/>
  <c r="E21" i="6"/>
  <c r="K21" i="6" s="1"/>
  <c r="C42" i="6" s="1"/>
  <c r="F9" i="6"/>
  <c r="I286" i="9" l="1"/>
  <c r="M33" i="6"/>
  <c r="P33" i="6" s="1"/>
  <c r="Q33" i="6" s="1"/>
  <c r="M34" i="6"/>
  <c r="P34" i="6" s="1"/>
  <c r="Q34" i="6" s="1"/>
  <c r="M31" i="6"/>
  <c r="P31" i="6" s="1"/>
  <c r="Q31" i="6" s="1"/>
  <c r="J289" i="9"/>
  <c r="H291" i="9"/>
  <c r="H292" i="9"/>
  <c r="J290" i="9"/>
  <c r="J286" i="9"/>
  <c r="D75" i="7"/>
  <c r="F75" i="7" s="1"/>
  <c r="G75" i="7" s="1"/>
  <c r="G74" i="7" s="1"/>
  <c r="J63" i="7"/>
  <c r="G292" i="9"/>
  <c r="I278" i="9"/>
  <c r="J64" i="7"/>
  <c r="I291" i="9"/>
  <c r="I63" i="7"/>
  <c r="G6" i="6"/>
  <c r="D39" i="6" s="1"/>
  <c r="M30" i="6"/>
  <c r="P30" i="6" s="1"/>
  <c r="Q30" i="6" s="1"/>
  <c r="I64" i="7"/>
  <c r="J291" i="9"/>
  <c r="F19" i="6"/>
  <c r="L19" i="6" s="1"/>
  <c r="C30" i="6" s="1"/>
  <c r="F30" i="6" s="1"/>
  <c r="G30" i="6" s="1"/>
  <c r="F18" i="6"/>
  <c r="L18" i="6" s="1"/>
  <c r="C29" i="6" s="1"/>
  <c r="F29" i="6" s="1"/>
  <c r="G29" i="6" s="1"/>
  <c r="F277" i="9"/>
  <c r="H278" i="9"/>
  <c r="F21" i="6"/>
  <c r="L21" i="6" s="1"/>
  <c r="C32" i="6" s="1"/>
  <c r="F32" i="6" s="1"/>
  <c r="G32" i="6" s="1"/>
  <c r="F22" i="6"/>
  <c r="L22" i="6" s="1"/>
  <c r="C33" i="6" s="1"/>
  <c r="J62" i="7"/>
  <c r="I62" i="7"/>
  <c r="G61" i="7"/>
  <c r="T278" i="9"/>
  <c r="S278" i="9"/>
  <c r="Q277" i="9"/>
  <c r="I75" i="7" l="1"/>
  <c r="J75" i="7"/>
  <c r="I277" i="9"/>
  <c r="G7" i="6"/>
  <c r="G8" i="6" s="1"/>
  <c r="F276" i="9"/>
  <c r="H277" i="9"/>
  <c r="J74" i="7"/>
  <c r="I74" i="7"/>
  <c r="G73" i="7"/>
  <c r="G60" i="7"/>
  <c r="J61" i="7"/>
  <c r="I61" i="7"/>
  <c r="T277" i="9"/>
  <c r="S277" i="9"/>
  <c r="Q276" i="9"/>
  <c r="F33" i="6"/>
  <c r="G33" i="6" s="1"/>
  <c r="D40" i="6" l="1"/>
  <c r="F275" i="9"/>
  <c r="H276" i="9"/>
  <c r="I276" i="9"/>
  <c r="Q275" i="9"/>
  <c r="T276" i="9"/>
  <c r="S276" i="9"/>
  <c r="D41" i="6"/>
  <c r="G9" i="6"/>
  <c r="G59" i="7"/>
  <c r="J60" i="7"/>
  <c r="I60" i="7"/>
  <c r="J73" i="7"/>
  <c r="I73" i="7"/>
  <c r="G72" i="7"/>
  <c r="H275" i="9" l="1"/>
  <c r="I275" i="9"/>
  <c r="F274" i="9"/>
  <c r="J72" i="7"/>
  <c r="I72" i="7"/>
  <c r="G71" i="7"/>
  <c r="J59" i="7"/>
  <c r="J65" i="7" s="1"/>
  <c r="I59" i="7"/>
  <c r="I65" i="7" s="1"/>
  <c r="G10" i="6"/>
  <c r="D43" i="6" s="1"/>
  <c r="C48" i="6" s="1"/>
  <c r="D42" i="6"/>
  <c r="C50" i="6" s="1"/>
  <c r="T275" i="9"/>
  <c r="S275" i="9"/>
  <c r="Q274" i="9"/>
  <c r="F273" i="9" l="1"/>
  <c r="I274" i="9"/>
  <c r="H274" i="9"/>
  <c r="S274" i="9"/>
  <c r="T274" i="9"/>
  <c r="Q273" i="9"/>
  <c r="K59" i="7"/>
  <c r="J71" i="7"/>
  <c r="I71" i="7"/>
  <c r="G70" i="7"/>
  <c r="I273" i="9" l="1"/>
  <c r="I279" i="9" s="1"/>
  <c r="H273" i="9"/>
  <c r="H279" i="9" s="1"/>
  <c r="J70" i="7"/>
  <c r="J76" i="7" s="1"/>
  <c r="I70" i="7"/>
  <c r="I76" i="7" s="1"/>
  <c r="T273" i="9"/>
  <c r="T279" i="9" s="1"/>
  <c r="S273" i="9"/>
  <c r="S279" i="9" s="1"/>
  <c r="J273" i="9" l="1"/>
  <c r="K70" i="7"/>
  <c r="U273" i="9"/>
  <c r="Y44" i="18"/>
  <c r="Y46" i="18" s="1"/>
  <c r="O4" i="18" s="1"/>
  <c r="Z44" i="18"/>
  <c r="Z46" i="18" s="1"/>
  <c r="P4" i="18" s="1"/>
</calcChain>
</file>

<file path=xl/comments1.xml><?xml version="1.0" encoding="utf-8"?>
<comments xmlns="http://schemas.openxmlformats.org/spreadsheetml/2006/main">
  <authors>
    <author>Graziella</author>
  </authors>
  <commentList>
    <comment ref="H51" authorId="0" shapeId="0">
      <text>
        <r>
          <rPr>
            <sz val="9"/>
            <color indexed="81"/>
            <rFont val="Tahoma"/>
            <family val="2"/>
          </rPr>
          <t xml:space="preserve">la normativa essendo compreso tra 2 e 3 prende 1,2 per l' incidenza tramezzi
</t>
        </r>
      </text>
    </comment>
  </commentList>
</comments>
</file>

<file path=xl/comments2.xml><?xml version="1.0" encoding="utf-8"?>
<comments xmlns="http://schemas.openxmlformats.org/spreadsheetml/2006/main">
  <authors>
    <author>Graziella</author>
  </authors>
  <commentList>
    <comment ref="C2" authorId="0" shapeId="0">
      <text>
        <r>
          <rPr>
            <sz val="9"/>
            <color indexed="81"/>
            <rFont val="Tahoma"/>
            <family val="2"/>
          </rPr>
          <t xml:space="preserve">Tab.6.2.1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3.1.II
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Tab.2.5.I
</t>
        </r>
      </text>
    </comment>
  </commentList>
</comments>
</file>

<file path=xl/comments3.xml><?xml version="1.0" encoding="utf-8"?>
<comments xmlns="http://schemas.openxmlformats.org/spreadsheetml/2006/main">
  <authors>
    <author>Graziella</author>
  </authors>
  <commentList>
    <comment ref="C35" authorId="0" shapeId="0">
      <text>
        <r>
          <rPr>
            <sz val="9"/>
            <color indexed="81"/>
            <rFont val="Tahoma"/>
            <family val="2"/>
          </rPr>
          <t xml:space="preserve">Tab.6.2.1
</t>
        </r>
      </text>
    </comment>
    <comment ref="E35" authorId="0" shapeId="0">
      <text>
        <r>
          <rPr>
            <sz val="9"/>
            <color indexed="81"/>
            <rFont val="Tahoma"/>
            <family val="2"/>
          </rPr>
          <t xml:space="preserve">3.1.II
</t>
        </r>
      </text>
    </comment>
    <comment ref="E36" authorId="0" shapeId="0">
      <text>
        <r>
          <rPr>
            <sz val="9"/>
            <color indexed="81"/>
            <rFont val="Tahoma"/>
            <family val="2"/>
          </rPr>
          <t xml:space="preserve">Tab.2.5.I
</t>
        </r>
      </text>
    </comment>
    <comment ref="C180" authorId="0" shapeId="0">
      <text>
        <r>
          <rPr>
            <b/>
            <sz val="9"/>
            <color indexed="81"/>
            <rFont val="Tahoma"/>
            <family val="2"/>
          </rPr>
          <t xml:space="preserve">per tener conto delle aperture e dello spess delle travi emergenti
</t>
        </r>
      </text>
    </comment>
    <comment ref="I180" authorId="0" shapeId="0">
      <text>
        <r>
          <rPr>
            <b/>
            <sz val="9"/>
            <color indexed="81"/>
            <rFont val="Tahoma"/>
            <family val="2"/>
          </rPr>
          <t xml:space="preserve">per tener conto delle aperture e dello spess delle travi emergenti
</t>
        </r>
      </text>
    </comment>
    <comment ref="O180" authorId="0" shapeId="0">
      <text>
        <r>
          <rPr>
            <b/>
            <sz val="9"/>
            <color indexed="81"/>
            <rFont val="Tahoma"/>
            <family val="2"/>
          </rPr>
          <t xml:space="preserve">per tener conto delle aperture e dello spess delle travi emergenti
</t>
        </r>
      </text>
    </comment>
  </commentList>
</comments>
</file>

<file path=xl/comments4.xml><?xml version="1.0" encoding="utf-8"?>
<comments xmlns="http://schemas.openxmlformats.org/spreadsheetml/2006/main">
  <authors>
    <author>Graziella</author>
  </authors>
  <commentList>
    <comment ref="E23" authorId="0" shapeId="0">
      <text>
        <r>
          <rPr>
            <sz val="9"/>
            <color indexed="81"/>
            <rFont val="Tahoma"/>
            <family val="2"/>
          </rPr>
          <t xml:space="preserve">Tab.6.2.1
</t>
        </r>
      </text>
    </comment>
    <comment ref="G23" authorId="0" shapeId="0">
      <text>
        <r>
          <rPr>
            <sz val="9"/>
            <color indexed="81"/>
            <rFont val="Tahoma"/>
            <family val="2"/>
          </rPr>
          <t xml:space="preserve">3.1.II
</t>
        </r>
      </text>
    </comment>
    <comment ref="G24" authorId="0" shapeId="0">
      <text>
        <r>
          <rPr>
            <sz val="9"/>
            <color indexed="81"/>
            <rFont val="Tahoma"/>
            <family val="2"/>
          </rPr>
          <t xml:space="preserve">Tab.2.5.I
</t>
        </r>
      </text>
    </comment>
  </commentList>
</comments>
</file>

<file path=xl/comments5.xml><?xml version="1.0" encoding="utf-8"?>
<comments xmlns="http://schemas.openxmlformats.org/spreadsheetml/2006/main">
  <authors>
    <author>Graziella</author>
  </authors>
  <commentList>
    <comment ref="O2" authorId="0" shapeId="0">
      <text>
        <r>
          <rPr>
            <b/>
            <sz val="9"/>
            <color indexed="81"/>
            <rFont val="Tahoma"/>
            <family val="2"/>
          </rPr>
          <t>per il torrino ho considerato tamponature  e pilastri</t>
        </r>
      </text>
    </comment>
  </commentList>
</comments>
</file>

<file path=xl/comments6.xml><?xml version="1.0" encoding="utf-8"?>
<comments xmlns="http://schemas.openxmlformats.org/spreadsheetml/2006/main">
  <authors>
    <author>Graziella</author>
  </authors>
  <commentList>
    <comment ref="R5" authorId="0" shapeId="0">
      <text>
        <r>
          <rPr>
            <b/>
            <sz val="9"/>
            <color indexed="81"/>
            <rFont val="Tahoma"/>
            <family val="2"/>
          </rPr>
          <t>dubbi coeff di cont</t>
        </r>
      </text>
    </comment>
  </commentList>
</comments>
</file>

<file path=xl/comments7.xml><?xml version="1.0" encoding="utf-8"?>
<comments xmlns="http://schemas.openxmlformats.org/spreadsheetml/2006/main">
  <authors>
    <author>Graziella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 xml:space="preserve">con cornicione da 40cm
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 xml:space="preserve">Dalla fondazione senza torrino
</t>
        </r>
      </text>
    </comment>
    <comment ref="G7" authorId="0" shapeId="0">
      <text>
        <r>
          <rPr>
            <sz val="9"/>
            <color indexed="81"/>
            <rFont val="Tahoma"/>
            <family val="2"/>
          </rPr>
          <t xml:space="preserve">Massa impalcato
</t>
        </r>
      </text>
    </comment>
    <comment ref="I7" authorId="0" shapeId="0">
      <text>
        <r>
          <rPr>
            <sz val="9"/>
            <color indexed="81"/>
            <rFont val="Tahoma"/>
            <family val="2"/>
          </rPr>
          <t xml:space="preserve">forze al piano
</t>
        </r>
      </text>
    </comment>
  </commentList>
</comments>
</file>

<file path=xl/comments8.xml><?xml version="1.0" encoding="utf-8"?>
<comments xmlns="http://schemas.openxmlformats.org/spreadsheetml/2006/main">
  <authors>
    <author>Graziella</author>
  </authors>
  <commentList>
    <comment ref="L6" authorId="0" shapeId="0">
      <text>
        <r>
          <rPr>
            <b/>
            <sz val="9"/>
            <color indexed="81"/>
            <rFont val="Tahoma"/>
            <family val="2"/>
          </rPr>
          <t>Corto con balcone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Prendo quella di bordo perché eccentrica</t>
        </r>
      </text>
    </comment>
    <comment ref="M26" authorId="0" shapeId="0">
      <text>
        <r>
          <rPr>
            <b/>
            <sz val="9"/>
            <color indexed="81"/>
            <rFont val="Tahoma"/>
            <family val="2"/>
          </rPr>
          <t xml:space="preserve">considero una trave di spina molto caricata ma non considero l' eccentricità. Si può notare che il dimensionamento non cambia
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</rPr>
          <t>pilastro 9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</rPr>
          <t xml:space="preserve">pilastro 13
</t>
        </r>
      </text>
    </comment>
  </commentList>
</comments>
</file>

<file path=xl/comments9.xml><?xml version="1.0" encoding="utf-8"?>
<comments xmlns="http://schemas.openxmlformats.org/spreadsheetml/2006/main">
  <authors>
    <author>Graziella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4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5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6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7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8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9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9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9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0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0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0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1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1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2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35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3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4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4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4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5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5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5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6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6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78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81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85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8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9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9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9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0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0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11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H218" authorId="0" shapeId="0">
      <text>
        <r>
          <rPr>
            <sz val="9"/>
            <color indexed="81"/>
            <rFont val="Tahoma"/>
            <family val="2"/>
          </rPr>
          <t xml:space="preserve">Calcolate con il foglio del proff la formula mi dava altri valori
</t>
        </r>
      </text>
    </comment>
    <comment ref="A2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2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2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0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34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7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41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44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48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5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E271" authorId="0" shapeId="0">
      <text>
        <r>
          <rPr>
            <b/>
            <sz val="9"/>
            <color indexed="81"/>
            <rFont val="Tahoma"/>
            <family val="2"/>
          </rPr>
          <t>sp relativo</t>
        </r>
      </text>
    </comment>
  </commentList>
</comments>
</file>

<file path=xl/sharedStrings.xml><?xml version="1.0" encoding="utf-8"?>
<sst xmlns="http://schemas.openxmlformats.org/spreadsheetml/2006/main" count="2690" uniqueCount="490">
  <si>
    <t>Coeff.parz</t>
  </si>
  <si>
    <r>
      <t>γ</t>
    </r>
    <r>
      <rPr>
        <b/>
        <vertAlign val="subscript"/>
        <sz val="12"/>
        <color theme="1"/>
        <rFont val="Arial"/>
        <family val="2"/>
      </rPr>
      <t>G1</t>
    </r>
  </si>
  <si>
    <r>
      <t>γ</t>
    </r>
    <r>
      <rPr>
        <b/>
        <vertAlign val="subscript"/>
        <sz val="12"/>
        <color theme="1"/>
        <rFont val="Arial"/>
        <family val="2"/>
      </rPr>
      <t>G2,</t>
    </r>
    <r>
      <rPr>
        <b/>
        <sz val="12"/>
        <color theme="1"/>
        <rFont val="Arial"/>
        <family val="2"/>
      </rPr>
      <t>γ</t>
    </r>
    <r>
      <rPr>
        <b/>
        <vertAlign val="subscript"/>
        <sz val="12"/>
        <color theme="1"/>
        <rFont val="Arial"/>
        <family val="2"/>
      </rPr>
      <t>Q2</t>
    </r>
  </si>
  <si>
    <t>Solaio</t>
  </si>
  <si>
    <t>Tramezzi</t>
  </si>
  <si>
    <t>Sbalzi</t>
  </si>
  <si>
    <t xml:space="preserve">Tamponature </t>
  </si>
  <si>
    <t>Scala</t>
  </si>
  <si>
    <r>
      <t>g</t>
    </r>
    <r>
      <rPr>
        <b/>
        <vertAlign val="subscript"/>
        <sz val="12"/>
        <color theme="1"/>
        <rFont val="Arial"/>
        <family val="2"/>
      </rPr>
      <t>k</t>
    </r>
  </si>
  <si>
    <r>
      <t>q</t>
    </r>
    <r>
      <rPr>
        <b/>
        <vertAlign val="subscript"/>
        <sz val="12"/>
        <color theme="1"/>
        <rFont val="Arial"/>
        <family val="2"/>
      </rPr>
      <t>k</t>
    </r>
  </si>
  <si>
    <r>
      <t>g</t>
    </r>
    <r>
      <rPr>
        <b/>
        <vertAlign val="subscript"/>
        <sz val="12"/>
        <color theme="1"/>
        <rFont val="Arial"/>
        <family val="2"/>
      </rPr>
      <t>d</t>
    </r>
  </si>
  <si>
    <r>
      <t>q</t>
    </r>
    <r>
      <rPr>
        <b/>
        <vertAlign val="subscript"/>
        <sz val="12"/>
        <color theme="1"/>
        <rFont val="Arial"/>
        <family val="2"/>
      </rPr>
      <t>d</t>
    </r>
  </si>
  <si>
    <t>KN/m</t>
  </si>
  <si>
    <r>
      <t>KN/m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</si>
  <si>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y</t>
    </r>
    <r>
      <rPr>
        <b/>
        <vertAlign val="subscript"/>
        <sz val="12"/>
        <color theme="1"/>
        <rFont val="Symbol"/>
        <family val="1"/>
        <charset val="2"/>
      </rPr>
      <t>2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</si>
  <si>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sz val="11"/>
        <color theme="1"/>
        <rFont val="Arial"/>
        <family val="2"/>
      </rPr>
      <t>(ass.sisma)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</si>
  <si>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sz val="11"/>
        <color theme="1"/>
        <rFont val="Arial"/>
        <family val="2"/>
      </rPr>
      <t>(pres.sisma)</t>
    </r>
  </si>
  <si>
    <t>STIMA DEI MOMENTI FLETTENTI NELLE TRAVI PER EFFETTO DEI CARICHI VERTICALI</t>
  </si>
  <si>
    <t>Sviluppo</t>
  </si>
  <si>
    <t>Carico</t>
  </si>
  <si>
    <t>p.p. solaio</t>
  </si>
  <si>
    <t>p.p.trave</t>
  </si>
  <si>
    <t>Categ.</t>
  </si>
  <si>
    <t>A</t>
  </si>
  <si>
    <t>C2</t>
  </si>
  <si>
    <t>Luce trav.</t>
  </si>
  <si>
    <t>r'</t>
  </si>
  <si>
    <t>KNm</t>
  </si>
  <si>
    <t>d</t>
  </si>
  <si>
    <t>Spes.solaio</t>
  </si>
  <si>
    <t>m</t>
  </si>
  <si>
    <t>Trave a spes. 100x24</t>
  </si>
  <si>
    <t>p.p. solaio + tramezzi</t>
  </si>
  <si>
    <t>Pilastro 5 interno</t>
  </si>
  <si>
    <t>Carico al piano</t>
  </si>
  <si>
    <t>piani</t>
  </si>
  <si>
    <t>Momento con sisma</t>
  </si>
  <si>
    <t>b(largh)</t>
  </si>
  <si>
    <t>h</t>
  </si>
  <si>
    <t>Copri ferro</t>
  </si>
  <si>
    <t>cm</t>
  </si>
  <si>
    <t>Pilastro 10 laterale con sbalzo</t>
  </si>
  <si>
    <t>solaio</t>
  </si>
  <si>
    <t>scala</t>
  </si>
  <si>
    <t>tamponatura</t>
  </si>
  <si>
    <t>sbalzo</t>
  </si>
  <si>
    <r>
      <t xml:space="preserve">carico ass. sisma </t>
    </r>
    <r>
      <rPr>
        <b/>
        <sz val="11"/>
        <color theme="1"/>
        <rFont val="Calibri"/>
        <family val="2"/>
        <scheme val="minor"/>
      </rPr>
      <t>[KN]</t>
    </r>
  </si>
  <si>
    <r>
      <t xml:space="preserve">carico prs. Sisma </t>
    </r>
    <r>
      <rPr>
        <b/>
        <sz val="11"/>
        <color theme="1"/>
        <rFont val="Calibri"/>
        <family val="2"/>
        <scheme val="minor"/>
      </rPr>
      <t>[KN]</t>
    </r>
  </si>
  <si>
    <t xml:space="preserve">Sforzo norm al piede </t>
  </si>
  <si>
    <t>Area nec</t>
  </si>
  <si>
    <t>Pilastro 13 in corispond. della scala</t>
  </si>
  <si>
    <r>
      <t xml:space="preserve">Sviluppo </t>
    </r>
    <r>
      <rPr>
        <b/>
        <sz val="11"/>
        <color theme="1"/>
        <rFont val="Calibri"/>
        <family val="2"/>
        <scheme val="minor"/>
      </rPr>
      <t>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  <r>
      <rPr>
        <sz val="11"/>
        <color theme="1"/>
        <rFont val="Calibri"/>
        <family val="2"/>
        <scheme val="minor"/>
      </rPr>
      <t>,</t>
    </r>
    <r>
      <rPr>
        <b/>
        <sz val="11"/>
        <color theme="1"/>
        <rFont val="Calibri"/>
        <family val="2"/>
        <scheme val="minor"/>
      </rPr>
      <t>[m]</t>
    </r>
  </si>
  <si>
    <r>
      <t>f</t>
    </r>
    <r>
      <rPr>
        <vertAlign val="subscript"/>
        <sz val="11"/>
        <color theme="1"/>
        <rFont val="Calibri"/>
        <family val="2"/>
        <scheme val="minor"/>
      </rPr>
      <t>ck</t>
    </r>
  </si>
  <si>
    <r>
      <t>f</t>
    </r>
    <r>
      <rPr>
        <vertAlign val="subscript"/>
        <sz val="11"/>
        <color theme="1"/>
        <rFont val="Calibri"/>
        <family val="2"/>
        <scheme val="minor"/>
      </rPr>
      <t>cd</t>
    </r>
  </si>
  <si>
    <t>σ</t>
  </si>
  <si>
    <t>trave emerg</t>
  </si>
  <si>
    <t>Trave a spes. 60x24</t>
  </si>
  <si>
    <t>p.p. pilastro</t>
  </si>
  <si>
    <r>
      <t>Campata 14-20 trave 110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a spessore </t>
    </r>
  </si>
  <si>
    <t xml:space="preserve">Campata 5-11 trave di spina 107 </t>
  </si>
  <si>
    <t>Area piano interrato</t>
  </si>
  <si>
    <t xml:space="preserve">Area piano tipo </t>
  </si>
  <si>
    <t>Area terrazza</t>
  </si>
  <si>
    <t>Area torrino</t>
  </si>
  <si>
    <t>6+torrino</t>
  </si>
  <si>
    <t>somma</t>
  </si>
  <si>
    <r>
      <t>Superficie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</si>
  <si>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Peso imp. [KN]</t>
  </si>
  <si>
    <t>Massa [KNm]</t>
  </si>
  <si>
    <t>Area II impal.</t>
  </si>
  <si>
    <t>Quota z [m]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</si>
  <si>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</si>
  <si>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t>Alt.edific</t>
  </si>
  <si>
    <t>Parametri dinamici</t>
  </si>
  <si>
    <r>
      <t>V</t>
    </r>
    <r>
      <rPr>
        <vertAlign val="subscript"/>
        <sz val="11"/>
        <color theme="1"/>
        <rFont val="Calibri"/>
        <family val="2"/>
        <scheme val="minor"/>
      </rPr>
      <t>b</t>
    </r>
  </si>
  <si>
    <r>
      <t>S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(T1)</t>
    </r>
  </si>
  <si>
    <t>Wz [KNm]</t>
  </si>
  <si>
    <t xml:space="preserve"> Forza F          [KN]</t>
  </si>
  <si>
    <t>Taglio V [KN]</t>
  </si>
  <si>
    <t>Pilastri nella direxione x</t>
  </si>
  <si>
    <t>Pilastri nella direxione y</t>
  </si>
  <si>
    <t>Impalcato</t>
  </si>
  <si>
    <t>1 testa</t>
  </si>
  <si>
    <t>1 piede</t>
  </si>
  <si>
    <t>Luce trave</t>
  </si>
  <si>
    <t>Classe di duttilità</t>
  </si>
  <si>
    <t>Incremento per gerarchia delle resistenze (1,5 per classe di duttilità A, 1,3 per classe di duttilità B)</t>
  </si>
  <si>
    <t>Dimensionamento travi emergenti</t>
  </si>
  <si>
    <r>
      <t>V</t>
    </r>
    <r>
      <rPr>
        <b/>
        <vertAlign val="subscript"/>
        <sz val="12"/>
        <color theme="1"/>
        <rFont val="Calibri"/>
        <family val="2"/>
        <scheme val="minor"/>
      </rPr>
      <t xml:space="preserve">globale </t>
    </r>
    <r>
      <rPr>
        <b/>
        <sz val="12"/>
        <color theme="1"/>
        <rFont val="Calibri"/>
        <family val="2"/>
        <scheme val="minor"/>
      </rPr>
      <t>[KN]</t>
    </r>
  </si>
  <si>
    <r>
      <t>V</t>
    </r>
    <r>
      <rPr>
        <b/>
        <vertAlign val="subscript"/>
        <sz val="12"/>
        <color theme="1"/>
        <rFont val="Calibri"/>
        <family val="2"/>
        <scheme val="minor"/>
      </rPr>
      <t xml:space="preserve">pilastro </t>
    </r>
    <r>
      <rPr>
        <b/>
        <sz val="12"/>
        <color theme="1"/>
        <rFont val="Calibri"/>
        <family val="2"/>
        <scheme val="minor"/>
      </rPr>
      <t>[KN]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</si>
  <si>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pilastro </t>
    </r>
    <r>
      <rPr>
        <b/>
        <sz val="12"/>
        <color theme="1"/>
        <rFont val="Calibri"/>
        <family val="2"/>
        <scheme val="minor"/>
      </rPr>
      <t>[KNm]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</si>
  <si>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trave </t>
    </r>
    <r>
      <rPr>
        <b/>
        <sz val="12"/>
        <color theme="1"/>
        <rFont val="Calibri"/>
        <family val="2"/>
        <scheme val="minor"/>
      </rPr>
      <t>[KNm]</t>
    </r>
  </si>
  <si>
    <r>
      <t>∆N</t>
    </r>
    <r>
      <rPr>
        <b/>
        <vertAlign val="subscript"/>
        <sz val="12"/>
        <color theme="1"/>
        <rFont val="Calibri"/>
        <family val="2"/>
        <scheme val="minor"/>
      </rPr>
      <t xml:space="preserve">pilastri </t>
    </r>
    <r>
      <rPr>
        <b/>
        <sz val="12"/>
        <color theme="1"/>
        <rFont val="Calibri"/>
        <family val="2"/>
        <scheme val="minor"/>
      </rPr>
      <t>[KN]</t>
    </r>
  </si>
  <si>
    <t>Momento ass. sisma</t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</si>
  <si>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max      </t>
    </r>
    <r>
      <rPr>
        <b/>
        <sz val="12"/>
        <color theme="1"/>
        <rFont val="Calibri"/>
        <family val="2"/>
        <scheme val="minor"/>
      </rPr>
      <t>[KN]</t>
    </r>
  </si>
  <si>
    <t>Altez. utile [m]</t>
  </si>
  <si>
    <r>
      <t>M</t>
    </r>
    <r>
      <rPr>
        <b/>
        <vertAlign val="subscript"/>
        <sz val="14"/>
        <color theme="1"/>
        <rFont val="Calibri"/>
        <family val="2"/>
        <scheme val="minor"/>
      </rPr>
      <t>az. sismica</t>
    </r>
  </si>
  <si>
    <r>
      <t xml:space="preserve">M </t>
    </r>
    <r>
      <rPr>
        <b/>
        <vertAlign val="subscript"/>
        <sz val="14"/>
        <color theme="1"/>
        <rFont val="Calibri"/>
        <family val="2"/>
        <scheme val="minor"/>
      </rPr>
      <t>carichi vert</t>
    </r>
  </si>
  <si>
    <t>Incremento per eccentricità +20% (per travi perimetrali)</t>
  </si>
  <si>
    <r>
      <t>M</t>
    </r>
    <r>
      <rPr>
        <b/>
        <vertAlign val="subscript"/>
        <sz val="14"/>
        <color theme="1"/>
        <rFont val="Calibri"/>
        <family val="2"/>
        <scheme val="minor"/>
      </rPr>
      <t>pilastro</t>
    </r>
  </si>
  <si>
    <t>Dimensionamento pilastri</t>
  </si>
  <si>
    <r>
      <t>N</t>
    </r>
    <r>
      <rPr>
        <vertAlign val="subscript"/>
        <sz val="14"/>
        <color theme="1"/>
        <rFont val="Calibri"/>
        <family val="2"/>
        <scheme val="minor"/>
      </rPr>
      <t>maggiore</t>
    </r>
  </si>
  <si>
    <t>M</t>
  </si>
  <si>
    <r>
      <t>N</t>
    </r>
    <r>
      <rPr>
        <vertAlign val="subscript"/>
        <sz val="14"/>
        <color theme="1"/>
        <rFont val="Calibri"/>
        <family val="2"/>
        <scheme val="minor"/>
      </rPr>
      <t>minore</t>
    </r>
  </si>
  <si>
    <t>Approccio globale semplificato</t>
  </si>
  <si>
    <t>Piano 6</t>
  </si>
  <si>
    <t>pilastro</t>
  </si>
  <si>
    <t>trave sup</t>
  </si>
  <si>
    <t>trave inf</t>
  </si>
  <si>
    <t>b [cm]</t>
  </si>
  <si>
    <t>h [cm]</t>
  </si>
  <si>
    <t>n</t>
  </si>
  <si>
    <t>Direzione x</t>
  </si>
  <si>
    <t>luce [m]</t>
  </si>
  <si>
    <t>Travi emergenti 30x70</t>
  </si>
  <si>
    <t>H</t>
  </si>
  <si>
    <t>L</t>
  </si>
  <si>
    <t>peso trave</t>
  </si>
  <si>
    <t>peso sol da detrarre</t>
  </si>
  <si>
    <t>Elementi strutturali</t>
  </si>
  <si>
    <t xml:space="preserve">soletta </t>
  </si>
  <si>
    <t>travetti</t>
  </si>
  <si>
    <t>pignatte</t>
  </si>
  <si>
    <t>Altezza  [m]</t>
  </si>
  <si>
    <t xml:space="preserve"> Larghezza [m]</t>
  </si>
  <si>
    <t>Spessore [m]</t>
  </si>
  <si>
    <t>s</t>
  </si>
  <si>
    <t>S [m]</t>
  </si>
  <si>
    <r>
      <t>L</t>
    </r>
    <r>
      <rPr>
        <b/>
        <vertAlign val="subscript"/>
        <sz val="12"/>
        <color theme="1"/>
        <rFont val="Calibri"/>
        <family val="2"/>
        <scheme val="minor"/>
      </rPr>
      <t>max</t>
    </r>
  </si>
  <si>
    <r>
      <t>L</t>
    </r>
    <r>
      <rPr>
        <b/>
        <vertAlign val="subscript"/>
        <sz val="12"/>
        <color theme="1"/>
        <rFont val="Calibri"/>
        <family val="2"/>
        <scheme val="minor"/>
      </rPr>
      <t>max (trav a spess.)</t>
    </r>
  </si>
  <si>
    <r>
      <t>P. specif. [KN/m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>]</t>
    </r>
  </si>
  <si>
    <r>
      <t>P. proprio [KN/m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]</t>
    </r>
  </si>
  <si>
    <t>n             (per metro)</t>
  </si>
  <si>
    <t>Elementi non strutturali</t>
  </si>
  <si>
    <t>pavimento</t>
  </si>
  <si>
    <t xml:space="preserve">massetto  </t>
  </si>
  <si>
    <t>intonaco</t>
  </si>
  <si>
    <t>Trave emerg. 30x70</t>
  </si>
  <si>
    <t>Travi spessore 100x24</t>
  </si>
  <si>
    <t>Travi spessore 60x24</t>
  </si>
  <si>
    <t>Pilastri 30x80</t>
  </si>
  <si>
    <t>Campata 4-10 trave perimetrale 106</t>
  </si>
  <si>
    <t>Coppie M-N più gravose</t>
  </si>
  <si>
    <r>
      <t>N</t>
    </r>
    <r>
      <rPr>
        <vertAlign val="subscript"/>
        <sz val="12"/>
        <color theme="1"/>
        <rFont val="Calibri"/>
        <family val="2"/>
        <scheme val="minor"/>
      </rPr>
      <t>max</t>
    </r>
  </si>
  <si>
    <r>
      <t>N</t>
    </r>
    <r>
      <rPr>
        <vertAlign val="subscript"/>
        <sz val="12"/>
        <color theme="1"/>
        <rFont val="Calibri"/>
        <family val="2"/>
        <scheme val="minor"/>
      </rPr>
      <t>min</t>
    </r>
  </si>
  <si>
    <t>Sezione pilastri</t>
  </si>
  <si>
    <t>Armatura pilastri</t>
  </si>
  <si>
    <t>E [MPa]</t>
  </si>
  <si>
    <t>Sezione travi</t>
  </si>
  <si>
    <t>Alt. Pilastri</t>
  </si>
  <si>
    <t>SΙ</t>
  </si>
  <si>
    <t>6fi20</t>
  </si>
  <si>
    <r>
      <t>K [KN/mm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]</t>
    </r>
  </si>
  <si>
    <r>
      <rPr>
        <b/>
        <sz val="12"/>
        <color theme="1"/>
        <rFont val="GreekC"/>
      </rPr>
      <t>Ι</t>
    </r>
    <r>
      <rPr>
        <b/>
        <sz val="12"/>
        <color theme="1"/>
        <rFont val="Calibri"/>
        <family val="2"/>
        <scheme val="minor"/>
      </rPr>
      <t xml:space="preserve"> [cm</t>
    </r>
    <r>
      <rPr>
        <b/>
        <vertAlign val="super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]</t>
    </r>
  </si>
  <si>
    <t>Dati</t>
  </si>
  <si>
    <t>Piano 5</t>
  </si>
  <si>
    <t>Piani</t>
  </si>
  <si>
    <t>Campata 7-13 trave di spina 109</t>
  </si>
  <si>
    <t>Piano 4</t>
  </si>
  <si>
    <t>Piano 3</t>
  </si>
  <si>
    <t>Piano 2</t>
  </si>
  <si>
    <t>Piano 1 - interrato</t>
  </si>
  <si>
    <t>Direzione y</t>
  </si>
  <si>
    <t>pilastro con due travi emergenti</t>
  </si>
  <si>
    <r>
      <rPr>
        <b/>
        <sz val="12"/>
        <color theme="1"/>
        <rFont val="GreekC"/>
      </rPr>
      <t>Ι</t>
    </r>
    <r>
      <rPr>
        <b/>
        <sz val="12"/>
        <color theme="1"/>
        <rFont val="Calibri"/>
        <family val="2"/>
        <scheme val="minor"/>
      </rPr>
      <t xml:space="preserve"> /l</t>
    </r>
  </si>
  <si>
    <t>B</t>
  </si>
  <si>
    <t>30x80</t>
  </si>
  <si>
    <t>Alt. Pilastri piano int</t>
  </si>
  <si>
    <t>pilastro con due travi a spessore</t>
  </si>
  <si>
    <t>Trave a spessore</t>
  </si>
  <si>
    <r>
      <t>K</t>
    </r>
    <r>
      <rPr>
        <b/>
        <vertAlign val="subscript"/>
        <sz val="12"/>
        <color theme="1"/>
        <rFont val="Calibri"/>
        <family val="2"/>
        <scheme val="minor"/>
      </rPr>
      <t>tot</t>
    </r>
  </si>
  <si>
    <t>pilastro con una trave emergente</t>
  </si>
  <si>
    <t>pilastro con una trave a spessore</t>
  </si>
  <si>
    <t>pilastro con una trave emergente e una a spessore</t>
  </si>
  <si>
    <t>Piano 1 interrato</t>
  </si>
  <si>
    <t>u        [mm]</t>
  </si>
  <si>
    <t>Fu          [KN mm]</t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</si>
  <si>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x  </t>
    </r>
    <r>
      <rPr>
        <sz val="12"/>
        <color theme="1"/>
        <rFont val="Calibri"/>
        <family val="2"/>
        <scheme val="minor"/>
      </rPr>
      <t>[KN/mm]</t>
    </r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</si>
  <si>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y  </t>
    </r>
    <r>
      <rPr>
        <sz val="12"/>
        <color theme="1"/>
        <rFont val="Calibri"/>
        <family val="2"/>
        <scheme val="minor"/>
      </rPr>
      <t>[KN/mm]</t>
    </r>
  </si>
  <si>
    <r>
      <t>d</t>
    </r>
    <r>
      <rPr>
        <vertAlign val="subscript"/>
        <sz val="12"/>
        <color theme="1"/>
        <rFont val="Calibri"/>
        <family val="2"/>
        <scheme val="minor"/>
      </rPr>
      <t xml:space="preserve">r       </t>
    </r>
    <r>
      <rPr>
        <sz val="12"/>
        <color theme="1"/>
        <rFont val="Calibri"/>
        <family val="2"/>
        <scheme val="minor"/>
      </rPr>
      <t>[mm]</t>
    </r>
  </si>
  <si>
    <r>
      <t>mu</t>
    </r>
    <r>
      <rPr>
        <vertAlign val="superscript"/>
        <sz val="12"/>
        <color theme="1"/>
        <rFont val="Calibri"/>
        <family val="2"/>
        <scheme val="minor"/>
      </rPr>
      <t xml:space="preserve">2                  </t>
    </r>
    <r>
      <rPr>
        <sz val="12"/>
        <color theme="1"/>
        <rFont val="Calibri"/>
        <family val="2"/>
        <scheme val="minor"/>
      </rPr>
      <t>[KN mm s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</si>
  <si>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Somma</t>
  </si>
  <si>
    <t>T</t>
  </si>
  <si>
    <t>Fu             [KN mm]</t>
  </si>
  <si>
    <t xml:space="preserve">   Controllo del periodo</t>
  </si>
  <si>
    <t>Ripartizione del taglio tra i pilastri e previsione del momento flettente</t>
  </si>
  <si>
    <t>Ordine</t>
  </si>
  <si>
    <t>x-pilastri equivalenti</t>
  </si>
  <si>
    <t>y-pilastri equivalenti</t>
  </si>
  <si>
    <r>
      <t>V</t>
    </r>
    <r>
      <rPr>
        <b/>
        <vertAlign val="subscript"/>
        <sz val="12"/>
        <color theme="1"/>
        <rFont val="Calibri"/>
        <family val="2"/>
        <scheme val="minor"/>
      </rPr>
      <t>pilastro-y</t>
    </r>
  </si>
  <si>
    <r>
      <t>V</t>
    </r>
    <r>
      <rPr>
        <b/>
        <vertAlign val="subscript"/>
        <sz val="12"/>
        <color theme="1"/>
        <rFont val="Calibri"/>
        <family val="2"/>
        <scheme val="minor"/>
      </rPr>
      <t>pilastro-x</t>
    </r>
  </si>
  <si>
    <t>sy</t>
  </si>
  <si>
    <r>
      <t>sy</t>
    </r>
    <r>
      <rPr>
        <vertAlign val="superscript"/>
        <sz val="11"/>
        <color theme="1"/>
        <rFont val="Calibri"/>
        <family val="2"/>
        <scheme val="minor"/>
      </rPr>
      <t>2</t>
    </r>
  </si>
  <si>
    <r>
      <t>y</t>
    </r>
    <r>
      <rPr>
        <vertAlign val="subscript"/>
        <sz val="11"/>
        <color theme="1"/>
        <rFont val="Calibri"/>
        <family val="2"/>
        <scheme val="minor"/>
      </rPr>
      <t>r</t>
    </r>
  </si>
  <si>
    <t>Rigidezze per forze x - Piano interrato</t>
  </si>
  <si>
    <t>Rigidezze per forze y - Piano interrato</t>
  </si>
  <si>
    <t>sx</t>
  </si>
  <si>
    <r>
      <t>sx</t>
    </r>
    <r>
      <rPr>
        <vertAlign val="superscript"/>
        <sz val="11"/>
        <color theme="1"/>
        <rFont val="Calibri"/>
        <family val="2"/>
        <scheme val="minor"/>
      </rPr>
      <t>2</t>
    </r>
  </si>
  <si>
    <r>
      <t>x</t>
    </r>
    <r>
      <rPr>
        <vertAlign val="subscript"/>
        <sz val="11"/>
        <color theme="1"/>
        <rFont val="Calibri"/>
        <family val="2"/>
        <scheme val="minor"/>
      </rPr>
      <t>r</t>
    </r>
  </si>
  <si>
    <t>y</t>
  </si>
  <si>
    <t>x</t>
  </si>
  <si>
    <t>Rigidezze per forze x - Piano 2</t>
  </si>
  <si>
    <t>Rigidezze per forze y - 2</t>
  </si>
  <si>
    <r>
      <t>y</t>
    </r>
    <r>
      <rPr>
        <vertAlign val="subscript"/>
        <sz val="12"/>
        <color theme="1"/>
        <rFont val="Calibri"/>
        <family val="2"/>
        <scheme val="minor"/>
      </rPr>
      <t>r</t>
    </r>
  </si>
  <si>
    <r>
      <t>y</t>
    </r>
    <r>
      <rPr>
        <vertAlign val="subscript"/>
        <sz val="12"/>
        <color theme="1"/>
        <rFont val="Calibri"/>
        <family val="2"/>
        <scheme val="minor"/>
      </rPr>
      <t>m</t>
    </r>
  </si>
  <si>
    <t>Dis. cr-cm</t>
  </si>
  <si>
    <r>
      <t>x</t>
    </r>
    <r>
      <rPr>
        <vertAlign val="subscript"/>
        <sz val="12"/>
        <color theme="1"/>
        <rFont val="Calibri"/>
        <family val="2"/>
        <scheme val="minor"/>
      </rPr>
      <t>m</t>
    </r>
  </si>
  <si>
    <t>Rigidezze per forze x - Piano 3</t>
  </si>
  <si>
    <t>Rigidezze per forze y - 3</t>
  </si>
  <si>
    <t>Rigidezze per forze x - Piano 4</t>
  </si>
  <si>
    <t>Rigidezze per forze y - 4</t>
  </si>
  <si>
    <t>Rigidezze per forze x - Piano 5</t>
  </si>
  <si>
    <t>Rigidezze per forze y - 6</t>
  </si>
  <si>
    <t>Rigidezze per forze y - 5</t>
  </si>
  <si>
    <t>Rigidezze per forze x - Piano 6</t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</si>
  <si>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x </t>
    </r>
    <r>
      <rPr>
        <sz val="12"/>
        <color theme="1"/>
        <rFont val="Calibri"/>
        <family val="2"/>
        <scheme val="minor"/>
      </rPr>
      <t>[KN/mm]</t>
    </r>
  </si>
  <si>
    <t>Media</t>
  </si>
  <si>
    <t>i pilastri più rigidi portano un taglio leggermente minore da quello previsto</t>
  </si>
  <si>
    <t>Pilastro 9 d'angolo</t>
  </si>
  <si>
    <t>Campata 15-21 trave perimetrale 111</t>
  </si>
  <si>
    <t xml:space="preserve">Svil. Solaio </t>
  </si>
  <si>
    <t>Svil. Sbalzo</t>
  </si>
  <si>
    <t>p.p. tamp</t>
  </si>
  <si>
    <t>p.p. sbalzo</t>
  </si>
  <si>
    <t>luve trav</t>
  </si>
  <si>
    <r>
      <t>Peso unit.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</si>
  <si>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trave</t>
  </si>
  <si>
    <t>trave emerg.</t>
  </si>
  <si>
    <t>trave a spess</t>
  </si>
  <si>
    <r>
      <t>x</t>
    </r>
    <r>
      <rPr>
        <vertAlign val="subscript"/>
        <sz val="12"/>
        <color theme="1"/>
        <rFont val="Calibri"/>
        <family val="2"/>
        <scheme val="minor"/>
      </rPr>
      <t xml:space="preserve">k                 </t>
    </r>
    <r>
      <rPr>
        <sz val="12"/>
        <color theme="1"/>
        <rFont val="Calibri"/>
        <family val="2"/>
        <scheme val="minor"/>
      </rPr>
      <t>[m]</t>
    </r>
  </si>
  <si>
    <r>
      <t>y</t>
    </r>
    <r>
      <rPr>
        <vertAlign val="subscript"/>
        <sz val="12"/>
        <color theme="1"/>
        <rFont val="Calibri"/>
        <family val="2"/>
        <scheme val="minor"/>
      </rPr>
      <t xml:space="preserve">k                 </t>
    </r>
    <r>
      <rPr>
        <sz val="12"/>
        <color theme="1"/>
        <rFont val="Calibri"/>
        <family val="2"/>
        <scheme val="minor"/>
      </rPr>
      <t>[m]</t>
    </r>
  </si>
  <si>
    <r>
      <t>x</t>
    </r>
    <r>
      <rPr>
        <vertAlign val="subscript"/>
        <sz val="12"/>
        <color theme="1"/>
        <rFont val="Calibri"/>
        <family val="2"/>
        <scheme val="minor"/>
      </rPr>
      <t xml:space="preserve">m                 </t>
    </r>
    <r>
      <rPr>
        <sz val="12"/>
        <color theme="1"/>
        <rFont val="Calibri"/>
        <family val="2"/>
        <scheme val="minor"/>
      </rPr>
      <t>[m]</t>
    </r>
  </si>
  <si>
    <r>
      <t>y</t>
    </r>
    <r>
      <rPr>
        <vertAlign val="subscript"/>
        <sz val="12"/>
        <color theme="1"/>
        <rFont val="Calibri"/>
        <family val="2"/>
        <scheme val="minor"/>
      </rPr>
      <t xml:space="preserve">m                 </t>
    </r>
    <r>
      <rPr>
        <sz val="12"/>
        <color theme="1"/>
        <rFont val="Calibri"/>
        <family val="2"/>
        <scheme val="minor"/>
      </rPr>
      <t>[m]</t>
    </r>
  </si>
  <si>
    <r>
      <rPr>
        <sz val="12"/>
        <color theme="1"/>
        <rFont val="GreekC"/>
      </rPr>
      <t>∆</t>
    </r>
    <r>
      <rPr>
        <sz val="12"/>
        <color theme="1"/>
        <rFont val="Calibri"/>
        <family val="2"/>
      </rPr>
      <t>x      [m]</t>
    </r>
  </si>
  <si>
    <r>
      <rPr>
        <sz val="12"/>
        <color theme="1"/>
        <rFont val="GreekC"/>
      </rPr>
      <t>∆</t>
    </r>
    <r>
      <rPr>
        <sz val="12"/>
        <color theme="1"/>
        <rFont val="Calibri"/>
        <family val="2"/>
      </rPr>
      <t>y               [m]</t>
    </r>
  </si>
  <si>
    <t>Sbalzo</t>
  </si>
  <si>
    <t>Tramezzo</t>
  </si>
  <si>
    <t>laterizi</t>
  </si>
  <si>
    <t>Tamponature</t>
  </si>
  <si>
    <t>Travi emergenti 30x60</t>
  </si>
  <si>
    <t>Travi emergenti 30x50</t>
  </si>
  <si>
    <t>L[m]</t>
  </si>
  <si>
    <t>a</t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</si>
  <si>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(ass.sisma)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</si>
  <si>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(pres.sisma)</t>
    </r>
  </si>
  <si>
    <t>Trave emerg. 30x60</t>
  </si>
  <si>
    <t>Trave emerg. 30x50</t>
  </si>
  <si>
    <t>p. proprio</t>
  </si>
  <si>
    <t>Telaio 1  I IMPALCATO</t>
  </si>
  <si>
    <t>Telaio 1  II,III IMPALCATO</t>
  </si>
  <si>
    <t>Telaio 1  IV, V IMPALCATO</t>
  </si>
  <si>
    <t>Cornicione</t>
  </si>
  <si>
    <t>Telaio 1 VI IMPALCATO</t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</si>
  <si>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ass.sisma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</si>
  <si>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pres.sisma</t>
    </r>
  </si>
  <si>
    <t>Telaio 2  I IMPALCATO</t>
  </si>
  <si>
    <t>Telaio 2  II,III IMPALCATO</t>
  </si>
  <si>
    <t>Telaio 2  IV, V IMPALCATO</t>
  </si>
  <si>
    <t>Telaio 2 VI IMPALCATO</t>
  </si>
  <si>
    <t>tramezzi</t>
  </si>
  <si>
    <t>Sol copertura</t>
  </si>
  <si>
    <t>TOT</t>
  </si>
  <si>
    <t>Telaio 3  I IMPALCATO</t>
  </si>
  <si>
    <t>Telaio 3  II,III IMPALCATO</t>
  </si>
  <si>
    <t>Telaio 3  IV, V IMPALCATO</t>
  </si>
  <si>
    <t>Telaio 3 VI IMPALCATO</t>
  </si>
  <si>
    <t>Campata              10-11, 11-12</t>
  </si>
  <si>
    <t>Campata      12-13</t>
  </si>
  <si>
    <t>Campata      1-2, 2-3</t>
  </si>
  <si>
    <t>Campata      6-7, 7-8</t>
  </si>
  <si>
    <t>Telaio 4  I IMPALCATO</t>
  </si>
  <si>
    <t>Telaio 4  II,III IMPALCATO</t>
  </si>
  <si>
    <t>Telaio 4  IV, V IMPALCATO</t>
  </si>
  <si>
    <t>Telaio 4 VI IMPALCATO</t>
  </si>
  <si>
    <t>Campata      18-19</t>
  </si>
  <si>
    <t>Campata              19-20</t>
  </si>
  <si>
    <t>Campata    20-21</t>
  </si>
  <si>
    <t>Telaio 5  I IMPALCATO</t>
  </si>
  <si>
    <t>Telaio 5  II,III IMPALCATO</t>
  </si>
  <si>
    <t>Telaio 5  IV, V IMPALCATO</t>
  </si>
  <si>
    <t>Telaio 5 VI IMPALCATO</t>
  </si>
  <si>
    <t>Telaio 6  I IMPALCATO</t>
  </si>
  <si>
    <t>Telaio 6  II,III IMPALCATO</t>
  </si>
  <si>
    <t>Telaio 6  IV, V IMPALCATO</t>
  </si>
  <si>
    <t>Telaio 6 VI IMPALCATO</t>
  </si>
  <si>
    <t>Campata       1-4, 10-16</t>
  </si>
  <si>
    <t>Campata      4-10</t>
  </si>
  <si>
    <t>Telaio 7  I IMPALCATO</t>
  </si>
  <si>
    <t>Telaio 7  II,III IMPALCATO</t>
  </si>
  <si>
    <t>Telaio 7  IV, V IMPALCATO</t>
  </si>
  <si>
    <t>Telaio 7 VI IMPALCATO</t>
  </si>
  <si>
    <t>Campata      22-23,           23-24</t>
  </si>
  <si>
    <t>solaio dx</t>
  </si>
  <si>
    <t>solaio sx</t>
  </si>
  <si>
    <t>Telaio 8  I IMPALCATO</t>
  </si>
  <si>
    <t>Telaio 8  II,III IMPALCATO</t>
  </si>
  <si>
    <t>Telaio 8  IV, V IMPALCATO</t>
  </si>
  <si>
    <t>Telaio 8 VI IMPALCATO</t>
  </si>
  <si>
    <t>Campata       3-6</t>
  </si>
  <si>
    <t>Campata       6-12</t>
  </si>
  <si>
    <t>Campata        12-18</t>
  </si>
  <si>
    <t xml:space="preserve">Campata        5-11   </t>
  </si>
  <si>
    <t>Telaio 9  I IMPALCATO</t>
  </si>
  <si>
    <t>Telaio 9  II,III IMPALCATO</t>
  </si>
  <si>
    <t>Telaio 9  IV, V IMPALCATO</t>
  </si>
  <si>
    <t>Telaio 9 VI IMPALCATO</t>
  </si>
  <si>
    <t>Campata       7-13</t>
  </si>
  <si>
    <t>Campata        13-19</t>
  </si>
  <si>
    <t>Campata       19-22</t>
  </si>
  <si>
    <t>Telaio 10  I IMPALCATO</t>
  </si>
  <si>
    <t>Telaio 10  II,III IMPALCATO</t>
  </si>
  <si>
    <t>Telaio 10  IV, V IMPALCATO</t>
  </si>
  <si>
    <t>Telaio 10 VI IMPALCATO</t>
  </si>
  <si>
    <t>Campata        14-20</t>
  </si>
  <si>
    <t>Telaio 11  I IMPALCATO</t>
  </si>
  <si>
    <t>Telaio 11  II,III IMPALCATO</t>
  </si>
  <si>
    <t>Telaio 11  IV, V IMPALCATO</t>
  </si>
  <si>
    <t>Telaio 11 VI IMPALCATO</t>
  </si>
  <si>
    <t>pav. gres</t>
  </si>
  <si>
    <r>
      <t>P. proprio [KN/m</t>
    </r>
    <r>
      <rPr>
        <b/>
        <sz val="12"/>
        <color theme="1"/>
        <rFont val="Calibri"/>
        <family val="2"/>
        <scheme val="minor"/>
      </rPr>
      <t>]</t>
    </r>
  </si>
  <si>
    <t>pav. Granito</t>
  </si>
  <si>
    <t>Campata    4-5, 5-6</t>
  </si>
  <si>
    <t>TOT [kN/m]</t>
  </si>
  <si>
    <t>Campata   8-9</t>
  </si>
  <si>
    <t>Campata    13-14,       14-15</t>
  </si>
  <si>
    <t>Sb. Cornic.</t>
  </si>
  <si>
    <t>Campata      16-17,      17-18</t>
  </si>
  <si>
    <t xml:space="preserve">sb. corni. </t>
  </si>
  <si>
    <t>Campata       9-15, 21-24</t>
  </si>
  <si>
    <t>Campata      15-21</t>
  </si>
  <si>
    <t xml:space="preserve">Solaio del piano tipo </t>
  </si>
  <si>
    <t xml:space="preserve">Solaio di copertura </t>
  </si>
  <si>
    <t xml:space="preserve">Sbalzo </t>
  </si>
  <si>
    <t>Trave emergente 30x60</t>
  </si>
  <si>
    <t>Trave emergente 30x70</t>
  </si>
  <si>
    <t>Trave emergente 30x50</t>
  </si>
  <si>
    <t>Trave a spessore 100x24</t>
  </si>
  <si>
    <t>Trave a spessore 60x24</t>
  </si>
  <si>
    <t>KN</t>
  </si>
  <si>
    <t>Pilastri 30x70</t>
  </si>
  <si>
    <t>Pilastri 30x60</t>
  </si>
  <si>
    <t>Pilastri 30x80 p.i.</t>
  </si>
  <si>
    <t>peso [kN]</t>
  </si>
  <si>
    <t>Impalcato I</t>
  </si>
  <si>
    <r>
      <t>q.ta  [m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</si>
  <si>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Campata       2-5</t>
  </si>
  <si>
    <t>Campata        11-17</t>
  </si>
  <si>
    <t>Campata       8-14</t>
  </si>
  <si>
    <t>Campata        20-23</t>
  </si>
  <si>
    <t>Impalcato II</t>
  </si>
  <si>
    <t>Impalcato III</t>
  </si>
  <si>
    <t>Impalcato IV</t>
  </si>
  <si>
    <t>Impalcato V</t>
  </si>
  <si>
    <t>Gradino area</t>
  </si>
  <si>
    <t>Solaio di copertura</t>
  </si>
  <si>
    <t>imperm.</t>
  </si>
  <si>
    <t>inc. tramezzi</t>
  </si>
  <si>
    <t>tamponature</t>
  </si>
  <si>
    <t>trave emer.</t>
  </si>
  <si>
    <t>trave spes.</t>
  </si>
  <si>
    <t>Peso tot. Impalcato</t>
  </si>
  <si>
    <t>Massa</t>
  </si>
  <si>
    <t xml:space="preserve">Area impalcato </t>
  </si>
  <si>
    <t>Peso medio</t>
  </si>
  <si>
    <t>Impalcato VI+ Torrinino</t>
  </si>
  <si>
    <t>massetto</t>
  </si>
  <si>
    <t>Carico sulla trave 4-10</t>
  </si>
  <si>
    <t>Carico sulla trave 2-5</t>
  </si>
  <si>
    <r>
      <t>L</t>
    </r>
    <r>
      <rPr>
        <sz val="8"/>
        <color theme="1"/>
        <rFont val="Calibri"/>
        <family val="2"/>
        <scheme val="minor"/>
      </rPr>
      <t xml:space="preserve"> Trave</t>
    </r>
  </si>
  <si>
    <t>Pilastro 6</t>
  </si>
  <si>
    <t>Pilastro 7</t>
  </si>
  <si>
    <t>Pilastro 8</t>
  </si>
  <si>
    <t>Pilastro 9</t>
  </si>
  <si>
    <t>Pilastro           1, 3, 16, 22, 24</t>
  </si>
  <si>
    <t>Pilastro            2, 17, 23</t>
  </si>
  <si>
    <t>Pilastro 5, 11</t>
  </si>
  <si>
    <t>Pilastro 12</t>
  </si>
  <si>
    <t>Pilastro 13</t>
  </si>
  <si>
    <t>Momento</t>
  </si>
  <si>
    <t>Larg nec</t>
  </si>
  <si>
    <t>TOT [kN]</t>
  </si>
  <si>
    <t xml:space="preserve">  I ORDINE</t>
  </si>
  <si>
    <t xml:space="preserve">  II ORDINE</t>
  </si>
  <si>
    <t xml:space="preserve">  III ORDINE</t>
  </si>
  <si>
    <t xml:space="preserve">  IV ORDINE</t>
  </si>
  <si>
    <t xml:space="preserve">  V ORDINE</t>
  </si>
  <si>
    <t xml:space="preserve">  VI ORDINE</t>
  </si>
  <si>
    <t>Pilastro 14</t>
  </si>
  <si>
    <t>Pilastro 4, 10</t>
  </si>
  <si>
    <t>Pilastro 15, 21</t>
  </si>
  <si>
    <t>Pilastro 19</t>
  </si>
  <si>
    <t>Pilastro 18</t>
  </si>
  <si>
    <t>Pilastro 20</t>
  </si>
  <si>
    <t>Pilastro 1, 3, 16, 22, 24</t>
  </si>
  <si>
    <t>Pilastro 2, 17, 23</t>
  </si>
  <si>
    <t>I ORDINE</t>
  </si>
  <si>
    <t>II ORDINE</t>
  </si>
  <si>
    <t>III ORDINE</t>
  </si>
  <si>
    <t>IV ORDINE</t>
  </si>
  <si>
    <t>V ORDINE</t>
  </si>
  <si>
    <t>VI ORDINE</t>
  </si>
  <si>
    <t>Valore massimo</t>
  </si>
  <si>
    <t>Valore minimo</t>
  </si>
  <si>
    <t>raggio di inerzia</t>
  </si>
  <si>
    <t>F            (KN)</t>
  </si>
  <si>
    <t>M            (KNm)</t>
  </si>
  <si>
    <r>
      <rPr>
        <b/>
        <sz val="16"/>
        <color theme="1"/>
        <rFont val="Calibri"/>
        <family val="2"/>
        <scheme val="minor"/>
      </rPr>
      <t>e</t>
    </r>
    <r>
      <rPr>
        <b/>
        <sz val="10"/>
        <color theme="1"/>
        <rFont val="Calibri"/>
        <family val="2"/>
        <scheme val="minor"/>
      </rPr>
      <t xml:space="preserve">a </t>
    </r>
    <r>
      <rPr>
        <b/>
        <sz val="12"/>
        <color theme="1"/>
        <rFont val="Calibri"/>
        <family val="2"/>
        <scheme val="minor"/>
      </rPr>
      <t xml:space="preserve">           (m)</t>
    </r>
  </si>
  <si>
    <t>Forze in direzione x</t>
  </si>
  <si>
    <t>Eccentricità accidentale</t>
  </si>
  <si>
    <r>
      <rPr>
        <sz val="14"/>
        <color theme="1"/>
        <rFont val="Calibri"/>
        <family val="2"/>
        <scheme val="minor"/>
      </rPr>
      <t>L</t>
    </r>
    <r>
      <rPr>
        <sz val="8"/>
        <color theme="1"/>
        <rFont val="Calibri"/>
        <family val="2"/>
        <scheme val="minor"/>
      </rPr>
      <t xml:space="preserve">1  </t>
    </r>
    <r>
      <rPr>
        <sz val="10"/>
        <color theme="1"/>
        <rFont val="Calibri"/>
        <family val="2"/>
        <scheme val="minor"/>
      </rPr>
      <t>(m)</t>
    </r>
  </si>
  <si>
    <r>
      <rPr>
        <sz val="16"/>
        <color theme="1"/>
        <rFont val="Calibri"/>
        <family val="2"/>
        <scheme val="minor"/>
      </rPr>
      <t>L</t>
    </r>
    <r>
      <rPr>
        <sz val="8"/>
        <color theme="1"/>
        <rFont val="Calibri"/>
        <family val="2"/>
        <scheme val="minor"/>
      </rPr>
      <t xml:space="preserve">2   </t>
    </r>
    <r>
      <rPr>
        <sz val="10"/>
        <color theme="1"/>
        <rFont val="Calibri"/>
        <family val="2"/>
        <scheme val="minor"/>
      </rPr>
      <t>(m)</t>
    </r>
  </si>
  <si>
    <r>
      <rPr>
        <sz val="14"/>
        <color theme="1"/>
        <rFont val="Calibri"/>
        <family val="2"/>
        <scheme val="minor"/>
      </rPr>
      <t>I</t>
    </r>
    <r>
      <rPr>
        <sz val="8"/>
        <color theme="1"/>
        <rFont val="Calibri"/>
        <family val="2"/>
        <scheme val="minor"/>
      </rPr>
      <t>x</t>
    </r>
  </si>
  <si>
    <r>
      <rPr>
        <sz val="14"/>
        <color theme="1"/>
        <rFont val="Calibri"/>
        <family val="2"/>
        <scheme val="minor"/>
      </rPr>
      <t>I</t>
    </r>
    <r>
      <rPr>
        <sz val="8"/>
        <color theme="1"/>
        <rFont val="Calibri"/>
        <family val="2"/>
        <scheme val="minor"/>
      </rPr>
      <t>y</t>
    </r>
  </si>
  <si>
    <t>Campata 1-2, 2-3</t>
  </si>
  <si>
    <t>Campata 6-7, 7-8</t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</si>
  <si>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ass.sis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</si>
  <si>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pres.sis</t>
    </r>
  </si>
  <si>
    <t>Campata   12-13</t>
  </si>
  <si>
    <t>Camp  13-14, 14-15</t>
  </si>
  <si>
    <t>Camp 10-11, 11-12</t>
  </si>
  <si>
    <t>Campata 4-5, 5-6</t>
  </si>
  <si>
    <t>Camp 16-17, 17-18</t>
  </si>
  <si>
    <t>Campata  18-19</t>
  </si>
  <si>
    <t>Campata 19-20</t>
  </si>
  <si>
    <t>Campata 20-21</t>
  </si>
  <si>
    <t>Camp 22-23, 23-24</t>
  </si>
  <si>
    <t>Campata 1-4, 10-16</t>
  </si>
  <si>
    <t>Campata  4-10</t>
  </si>
  <si>
    <t>Campata 2-5</t>
  </si>
  <si>
    <t>Campata 11-17</t>
  </si>
  <si>
    <t xml:space="preserve">Campata  5-11   </t>
  </si>
  <si>
    <t>Campata   3-6</t>
  </si>
  <si>
    <t>Campata  6-12</t>
  </si>
  <si>
    <t>Campata  12-18</t>
  </si>
  <si>
    <t>Campata  7-13</t>
  </si>
  <si>
    <t>Campata 13-19</t>
  </si>
  <si>
    <t>Campata 19-22</t>
  </si>
  <si>
    <t>Campata  8-14</t>
  </si>
  <si>
    <t>Campata   20-23</t>
  </si>
  <si>
    <t>Campata 14-20</t>
  </si>
  <si>
    <t>Camp 9-15, 21-24</t>
  </si>
  <si>
    <t>Campata  15-21</t>
  </si>
  <si>
    <t>Telaio 1</t>
  </si>
  <si>
    <t>Telaio 2</t>
  </si>
  <si>
    <t>Telaio 3</t>
  </si>
  <si>
    <t>Telaio 4</t>
  </si>
  <si>
    <t>Telaio 5</t>
  </si>
  <si>
    <t>Telaio 6</t>
  </si>
  <si>
    <t>Telaio 7</t>
  </si>
  <si>
    <t>Telaio 8</t>
  </si>
  <si>
    <t>Telaio 9</t>
  </si>
  <si>
    <t>Telaio 10</t>
  </si>
  <si>
    <t>Telaio 11</t>
  </si>
  <si>
    <t>I IMPALCATO</t>
  </si>
  <si>
    <t>II IMPALCATO</t>
  </si>
  <si>
    <t>III IMPALCATO</t>
  </si>
  <si>
    <t>IV IMPALCATO</t>
  </si>
  <si>
    <t>V IMPALCATO</t>
  </si>
  <si>
    <t>Forze in direzione y</t>
  </si>
  <si>
    <r>
      <t>M</t>
    </r>
    <r>
      <rPr>
        <b/>
        <vertAlign val="subscript"/>
        <sz val="12"/>
        <color theme="1"/>
        <rFont val="Calibri"/>
        <family val="2"/>
        <scheme val="minor"/>
      </rPr>
      <t>pilastro-x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</si>
  <si>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pilastro-y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</si>
  <si>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trave-x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</si>
  <si>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trave-y</t>
    </r>
  </si>
  <si>
    <r>
      <t>P. specif. [KN/m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]</t>
    </r>
  </si>
  <si>
    <t>Mom ass di sisma</t>
  </si>
  <si>
    <t>b (larg)</t>
  </si>
  <si>
    <t>Travi a spessore</t>
  </si>
  <si>
    <r>
      <t>f</t>
    </r>
    <r>
      <rPr>
        <vertAlign val="subscript"/>
        <sz val="11"/>
        <color theme="1"/>
        <rFont val="Calibri"/>
        <family val="2"/>
        <scheme val="minor"/>
      </rPr>
      <t>yd</t>
    </r>
  </si>
  <si>
    <t>r</t>
  </si>
  <si>
    <r>
      <rPr>
        <sz val="14"/>
        <color theme="1"/>
        <rFont val="Calibri"/>
        <family val="2"/>
      </rPr>
      <t>ε</t>
    </r>
    <r>
      <rPr>
        <sz val="11"/>
        <color theme="1"/>
        <rFont val="Calibri"/>
        <family val="2"/>
      </rPr>
      <t>cu</t>
    </r>
  </si>
  <si>
    <r>
      <rPr>
        <sz val="14"/>
        <color theme="1"/>
        <rFont val="Calibri"/>
        <family val="2"/>
      </rPr>
      <t>ε</t>
    </r>
    <r>
      <rPr>
        <sz val="11"/>
        <color theme="1"/>
        <rFont val="Calibri"/>
        <family val="2"/>
      </rPr>
      <t>yd</t>
    </r>
  </si>
  <si>
    <r>
      <t>f</t>
    </r>
    <r>
      <rPr>
        <vertAlign val="subscript"/>
        <sz val="11"/>
        <color theme="1"/>
        <rFont val="Calibri"/>
        <family val="2"/>
        <scheme val="minor"/>
      </rPr>
      <t>yk</t>
    </r>
  </si>
  <si>
    <t>Cls</t>
  </si>
  <si>
    <t>Acciaio</t>
  </si>
  <si>
    <t>VI impalcato</t>
  </si>
  <si>
    <t>sup</t>
  </si>
  <si>
    <t>inf</t>
  </si>
  <si>
    <t xml:space="preserve">sup </t>
  </si>
  <si>
    <r>
      <t>mu</t>
    </r>
    <r>
      <rPr>
        <vertAlign val="super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 xml:space="preserve">                 [KN mm s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</si>
  <si>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Peso W            [kN]</t>
  </si>
  <si>
    <t>Massa       [kN/m]</t>
  </si>
  <si>
    <r>
      <t>Area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</si>
  <si>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x</t>
    </r>
    <r>
      <rPr>
        <b/>
        <vertAlign val="subscript"/>
        <sz val="12"/>
        <color theme="1"/>
        <rFont val="Calibri"/>
        <family val="2"/>
        <scheme val="minor"/>
      </rPr>
      <t xml:space="preserve">m         </t>
    </r>
    <r>
      <rPr>
        <b/>
        <sz val="12"/>
        <color theme="1"/>
        <rFont val="Calibri"/>
        <family val="2"/>
        <scheme val="minor"/>
      </rPr>
      <t>[m]</t>
    </r>
  </si>
  <si>
    <r>
      <t>y</t>
    </r>
    <r>
      <rPr>
        <b/>
        <vertAlign val="subscript"/>
        <sz val="12"/>
        <color theme="1"/>
        <rFont val="Calibri"/>
        <family val="2"/>
        <scheme val="minor"/>
      </rPr>
      <t xml:space="preserve">m                    </t>
    </r>
    <r>
      <rPr>
        <b/>
        <sz val="12"/>
        <color theme="1"/>
        <rFont val="Calibri"/>
        <family val="2"/>
        <scheme val="minor"/>
      </rPr>
      <t>[m]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</si>
  <si>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 xml:space="preserve">m             </t>
    </r>
    <r>
      <rPr>
        <b/>
        <sz val="12"/>
        <color theme="1"/>
        <rFont val="Calibri"/>
        <family val="2"/>
        <scheme val="minor"/>
      </rPr>
      <t>[m]</t>
    </r>
  </si>
  <si>
    <t>Kx</t>
  </si>
  <si>
    <r>
      <t>x</t>
    </r>
    <r>
      <rPr>
        <b/>
        <vertAlign val="subscript"/>
        <sz val="12"/>
        <color theme="1"/>
        <rFont val="Calibri"/>
        <family val="2"/>
        <scheme val="minor"/>
      </rPr>
      <t>m</t>
    </r>
    <r>
      <rPr>
        <b/>
        <sz val="12"/>
        <color theme="1"/>
        <rFont val="Calibri"/>
        <family val="2"/>
        <scheme val="minor"/>
      </rPr>
      <t xml:space="preserve">         [m]</t>
    </r>
  </si>
  <si>
    <r>
      <t>y</t>
    </r>
    <r>
      <rPr>
        <b/>
        <vertAlign val="subscript"/>
        <sz val="12"/>
        <color theme="1"/>
        <rFont val="Calibri"/>
        <family val="2"/>
        <scheme val="minor"/>
      </rPr>
      <t>m</t>
    </r>
    <r>
      <rPr>
        <b/>
        <sz val="12"/>
        <color theme="1"/>
        <rFont val="Calibri"/>
        <family val="2"/>
        <scheme val="minor"/>
      </rPr>
      <t xml:space="preserve">         [m]</t>
    </r>
  </si>
  <si>
    <r>
      <t>x</t>
    </r>
    <r>
      <rPr>
        <b/>
        <vertAlign val="subscript"/>
        <sz val="12"/>
        <color theme="1"/>
        <rFont val="Calibri"/>
        <family val="2"/>
        <scheme val="minor"/>
      </rPr>
      <t>r</t>
    </r>
    <r>
      <rPr>
        <b/>
        <sz val="12"/>
        <color theme="1"/>
        <rFont val="Calibri"/>
        <family val="2"/>
        <scheme val="minor"/>
      </rPr>
      <t xml:space="preserve">         [m]</t>
    </r>
  </si>
  <si>
    <r>
      <t>y</t>
    </r>
    <r>
      <rPr>
        <b/>
        <vertAlign val="subscript"/>
        <sz val="12"/>
        <color theme="1"/>
        <rFont val="Calibri"/>
        <family val="2"/>
        <scheme val="minor"/>
      </rPr>
      <t>r</t>
    </r>
    <r>
      <rPr>
        <b/>
        <sz val="12"/>
        <color theme="1"/>
        <rFont val="Calibri"/>
        <family val="2"/>
        <scheme val="minor"/>
      </rPr>
      <t xml:space="preserve">         [m]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</si>
</sst>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7" formatCode="0.00000"/>
  </numFmts>
  <fonts count="5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GreekC"/>
    </font>
    <font>
      <sz val="11"/>
      <color rgb="FF002060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1"/>
      <name val="GreekC"/>
    </font>
    <font>
      <sz val="14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GreekC"/>
    </font>
    <font>
      <sz val="8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sz val="11"/>
      <color theme="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horizontal="right" vertical="top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4" fillId="0" borderId="7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/>
    </xf>
    <xf numFmtId="164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vertical="center"/>
    </xf>
    <xf numFmtId="2" fontId="0" fillId="0" borderId="0" xfId="0" applyNumberFormat="1"/>
    <xf numFmtId="0" fontId="0" fillId="0" borderId="14" xfId="0" applyBorder="1"/>
    <xf numFmtId="0" fontId="16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5" xfId="0" applyBorder="1"/>
    <xf numFmtId="0" fontId="19" fillId="0" borderId="0" xfId="0" applyFont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4" borderId="28" xfId="0" applyFill="1" applyBorder="1" applyAlignment="1">
      <alignment horizontal="center" vertical="center" wrapText="1"/>
    </xf>
    <xf numFmtId="0" fontId="0" fillId="0" borderId="0" xfId="0" applyFill="1"/>
    <xf numFmtId="0" fontId="0" fillId="0" borderId="8" xfId="0" applyBorder="1"/>
    <xf numFmtId="0" fontId="0" fillId="4" borderId="36" xfId="0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4" borderId="34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0" applyFont="1"/>
    <xf numFmtId="2" fontId="24" fillId="0" borderId="0" xfId="0" applyNumberFormat="1" applyFont="1" applyAlignment="1"/>
    <xf numFmtId="0" fontId="24" fillId="0" borderId="0" xfId="0" applyFont="1" applyAlignment="1"/>
    <xf numFmtId="0" fontId="25" fillId="0" borderId="0" xfId="0" applyFont="1"/>
    <xf numFmtId="2" fontId="24" fillId="0" borderId="0" xfId="0" applyNumberFormat="1" applyFont="1" applyAlignment="1">
      <alignment horizontal="right" vertical="center"/>
    </xf>
    <xf numFmtId="1" fontId="4" fillId="0" borderId="0" xfId="0" applyNumberFormat="1" applyFont="1"/>
    <xf numFmtId="0" fontId="4" fillId="0" borderId="0" xfId="0" applyFont="1" applyAlignment="1">
      <alignment horizont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3" xfId="0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/>
    <xf numFmtId="0" fontId="14" fillId="0" borderId="1" xfId="0" applyFont="1" applyBorder="1"/>
    <xf numFmtId="0" fontId="6" fillId="0" borderId="1" xfId="0" applyFont="1" applyBorder="1"/>
    <xf numFmtId="2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/>
    </xf>
    <xf numFmtId="0" fontId="6" fillId="0" borderId="6" xfId="0" applyFont="1" applyBorder="1"/>
    <xf numFmtId="0" fontId="30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3" borderId="1" xfId="0" applyFont="1" applyFill="1" applyBorder="1"/>
    <xf numFmtId="0" fontId="1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top" wrapText="1"/>
    </xf>
    <xf numFmtId="0" fontId="0" fillId="5" borderId="13" xfId="0" applyFill="1" applyBorder="1"/>
    <xf numFmtId="0" fontId="14" fillId="0" borderId="6" xfId="0" applyFont="1" applyBorder="1" applyAlignment="1">
      <alignment horizontal="center" vertical="center"/>
    </xf>
    <xf numFmtId="0" fontId="4" fillId="0" borderId="36" xfId="0" applyFont="1" applyBorder="1" applyAlignment="1"/>
    <xf numFmtId="0" fontId="4" fillId="0" borderId="24" xfId="0" applyFont="1" applyBorder="1"/>
    <xf numFmtId="0" fontId="16" fillId="0" borderId="1" xfId="0" applyFont="1" applyBorder="1" applyAlignment="1">
      <alignment horizontal="right" vertical="center"/>
    </xf>
    <xf numFmtId="2" fontId="16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4" fillId="0" borderId="3" xfId="0" applyFont="1" applyBorder="1"/>
    <xf numFmtId="0" fontId="4" fillId="0" borderId="31" xfId="0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2" fontId="4" fillId="0" borderId="3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vertical="center"/>
    </xf>
    <xf numFmtId="0" fontId="0" fillId="0" borderId="3" xfId="0" applyBorder="1"/>
    <xf numFmtId="0" fontId="4" fillId="0" borderId="3" xfId="0" applyFont="1" applyBorder="1" applyAlignment="1"/>
    <xf numFmtId="2" fontId="4" fillId="0" borderId="4" xfId="0" applyNumberFormat="1" applyFont="1" applyBorder="1" applyAlignment="1">
      <alignment horizontal="right" vertical="center"/>
    </xf>
    <xf numFmtId="0" fontId="4" fillId="0" borderId="5" xfId="0" applyFont="1" applyBorder="1"/>
    <xf numFmtId="0" fontId="4" fillId="0" borderId="5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164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15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3" borderId="0" xfId="0" applyFont="1" applyFill="1" applyBorder="1"/>
    <xf numFmtId="164" fontId="16" fillId="0" borderId="1" xfId="0" applyNumberFormat="1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Border="1" applyAlignment="1"/>
    <xf numFmtId="1" fontId="4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/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3" xfId="0" applyFont="1" applyBorder="1" applyAlignment="1">
      <alignment horizontal="center" vertical="center"/>
    </xf>
    <xf numFmtId="0" fontId="6" fillId="0" borderId="3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51" xfId="0" applyFont="1" applyBorder="1"/>
    <xf numFmtId="0" fontId="16" fillId="0" borderId="3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1" fontId="0" fillId="0" borderId="28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0" fillId="0" borderId="31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164" fontId="0" fillId="0" borderId="40" xfId="0" applyNumberFormat="1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1" fontId="0" fillId="0" borderId="37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1" fontId="0" fillId="0" borderId="32" xfId="0" applyNumberFormat="1" applyFont="1" applyBorder="1" applyAlignment="1">
      <alignment horizontal="center" vertical="center"/>
    </xf>
    <xf numFmtId="0" fontId="6" fillId="0" borderId="52" xfId="0" applyFont="1" applyBorder="1"/>
    <xf numFmtId="0" fontId="6" fillId="0" borderId="53" xfId="0" applyFont="1" applyBorder="1"/>
    <xf numFmtId="0" fontId="6" fillId="0" borderId="54" xfId="0" applyFont="1" applyBorder="1"/>
    <xf numFmtId="0" fontId="6" fillId="0" borderId="14" xfId="0" applyFont="1" applyBorder="1"/>
    <xf numFmtId="0" fontId="6" fillId="0" borderId="55" xfId="0" applyFont="1" applyBorder="1"/>
    <xf numFmtId="0" fontId="0" fillId="0" borderId="5" xfId="0" applyBorder="1"/>
    <xf numFmtId="0" fontId="0" fillId="0" borderId="31" xfId="0" applyBorder="1"/>
    <xf numFmtId="0" fontId="0" fillId="0" borderId="32" xfId="0" applyBorder="1"/>
    <xf numFmtId="0" fontId="0" fillId="0" borderId="5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60" xfId="0" applyNumberFormat="1" applyFont="1" applyBorder="1" applyAlignment="1">
      <alignment horizontal="center" vertical="center"/>
    </xf>
    <xf numFmtId="0" fontId="0" fillId="0" borderId="61" xfId="0" applyFont="1" applyBorder="1" applyAlignment="1">
      <alignment horizontal="center" vertical="center"/>
    </xf>
    <xf numFmtId="0" fontId="0" fillId="0" borderId="6" xfId="0" applyBorder="1"/>
    <xf numFmtId="0" fontId="0" fillId="0" borderId="61" xfId="0" applyBorder="1"/>
    <xf numFmtId="164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34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6" fillId="9" borderId="20" xfId="0" applyFont="1" applyFill="1" applyBorder="1" applyAlignment="1">
      <alignment horizontal="center"/>
    </xf>
    <xf numFmtId="11" fontId="0" fillId="0" borderId="4" xfId="0" applyNumberFormat="1" applyFont="1" applyBorder="1" applyAlignment="1">
      <alignment horizontal="center" vertical="center"/>
    </xf>
    <xf numFmtId="11" fontId="0" fillId="0" borderId="40" xfId="0" applyNumberFormat="1" applyFont="1" applyBorder="1" applyAlignment="1">
      <alignment horizontal="center" vertical="center"/>
    </xf>
    <xf numFmtId="11" fontId="0" fillId="0" borderId="1" xfId="0" applyNumberFormat="1" applyFont="1" applyBorder="1" applyAlignment="1">
      <alignment horizontal="center" vertical="center"/>
    </xf>
    <xf numFmtId="11" fontId="0" fillId="0" borderId="4" xfId="0" applyNumberFormat="1" applyBorder="1"/>
    <xf numFmtId="0" fontId="4" fillId="0" borderId="0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47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1" xfId="0" applyNumberFormat="1" applyBorder="1"/>
    <xf numFmtId="0" fontId="0" fillId="0" borderId="19" xfId="0" applyBorder="1"/>
    <xf numFmtId="2" fontId="12" fillId="0" borderId="21" xfId="0" applyNumberFormat="1" applyFont="1" applyBorder="1"/>
    <xf numFmtId="2" fontId="0" fillId="0" borderId="0" xfId="0" applyNumberForma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0" xfId="0" applyFont="1" applyBorder="1"/>
    <xf numFmtId="0" fontId="0" fillId="0" borderId="0" xfId="0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0" fillId="11" borderId="2" xfId="0" applyNumberFormat="1" applyFill="1" applyBorder="1" applyAlignment="1">
      <alignment horizontal="center" vertical="center"/>
    </xf>
    <xf numFmtId="0" fontId="4" fillId="0" borderId="19" xfId="0" applyFont="1" applyBorder="1"/>
    <xf numFmtId="2" fontId="6" fillId="0" borderId="21" xfId="0" applyNumberFormat="1" applyFont="1" applyBorder="1"/>
    <xf numFmtId="0" fontId="6" fillId="0" borderId="21" xfId="0" applyFont="1" applyBorder="1"/>
    <xf numFmtId="2" fontId="4" fillId="0" borderId="21" xfId="0" applyNumberFormat="1" applyFont="1" applyBorder="1"/>
    <xf numFmtId="164" fontId="0" fillId="0" borderId="34" xfId="0" applyNumberFormat="1" applyFont="1" applyBorder="1" applyAlignment="1">
      <alignment horizontal="center" vertical="center"/>
    </xf>
    <xf numFmtId="0" fontId="0" fillId="0" borderId="6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0" fillId="0" borderId="47" xfId="0" applyBorder="1"/>
    <xf numFmtId="0" fontId="0" fillId="0" borderId="35" xfId="0" applyBorder="1"/>
    <xf numFmtId="164" fontId="0" fillId="0" borderId="6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2" fontId="1" fillId="0" borderId="47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/>
    </xf>
    <xf numFmtId="0" fontId="14" fillId="0" borderId="47" xfId="0" applyFont="1" applyBorder="1"/>
    <xf numFmtId="2" fontId="4" fillId="0" borderId="47" xfId="0" applyNumberFormat="1" applyFont="1" applyBorder="1" applyAlignment="1">
      <alignment horizontal="left" vertical="center"/>
    </xf>
    <xf numFmtId="2" fontId="4" fillId="0" borderId="47" xfId="0" applyNumberFormat="1" applyFont="1" applyBorder="1"/>
    <xf numFmtId="0" fontId="4" fillId="0" borderId="47" xfId="0" applyFont="1" applyBorder="1"/>
    <xf numFmtId="0" fontId="4" fillId="0" borderId="47" xfId="0" applyFont="1" applyBorder="1" applyAlignment="1"/>
    <xf numFmtId="0" fontId="4" fillId="0" borderId="35" xfId="0" applyFont="1" applyBorder="1" applyAlignment="1">
      <alignment vertical="center"/>
    </xf>
    <xf numFmtId="0" fontId="16" fillId="0" borderId="1" xfId="0" applyFont="1" applyBorder="1"/>
    <xf numFmtId="0" fontId="16" fillId="0" borderId="1" xfId="0" applyFont="1" applyBorder="1" applyAlignment="1">
      <alignment vertical="center"/>
    </xf>
    <xf numFmtId="2" fontId="0" fillId="0" borderId="1" xfId="0" applyNumberFormat="1" applyBorder="1"/>
    <xf numFmtId="0" fontId="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right" vertical="center"/>
    </xf>
    <xf numFmtId="0" fontId="14" fillId="0" borderId="30" xfId="0" applyFont="1" applyBorder="1"/>
    <xf numFmtId="0" fontId="12" fillId="0" borderId="31" xfId="0" applyFont="1" applyBorder="1" applyAlignment="1">
      <alignment vertical="center"/>
    </xf>
    <xf numFmtId="164" fontId="16" fillId="0" borderId="29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0" fontId="16" fillId="2" borderId="0" xfId="0" applyFont="1" applyFill="1" applyBorder="1" applyAlignment="1">
      <alignment horizontal="center" vertical="center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2" fontId="0" fillId="0" borderId="6" xfId="0" applyNumberFormat="1" applyFont="1" applyFill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12" fillId="13" borderId="28" xfId="0" applyFont="1" applyFill="1" applyBorder="1" applyAlignment="1">
      <alignment horizontal="center" vertical="center"/>
    </xf>
    <xf numFmtId="0" fontId="22" fillId="13" borderId="29" xfId="0" applyFont="1" applyFill="1" applyBorder="1" applyAlignment="1">
      <alignment horizontal="center" vertical="center"/>
    </xf>
    <xf numFmtId="0" fontId="7" fillId="13" borderId="29" xfId="0" applyFont="1" applyFill="1" applyBorder="1" applyAlignment="1">
      <alignment horizontal="center" vertical="center"/>
    </xf>
    <xf numFmtId="0" fontId="7" fillId="13" borderId="29" xfId="0" applyFont="1" applyFill="1" applyBorder="1" applyAlignment="1">
      <alignment horizontal="center" vertical="center" wrapText="1"/>
    </xf>
    <xf numFmtId="0" fontId="7" fillId="13" borderId="30" xfId="0" applyFont="1" applyFill="1" applyBorder="1" applyAlignment="1">
      <alignment horizontal="center" vertical="center" wrapText="1"/>
    </xf>
    <xf numFmtId="2" fontId="0" fillId="0" borderId="37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2" fontId="0" fillId="0" borderId="39" xfId="0" applyNumberFormat="1" applyBorder="1" applyAlignment="1">
      <alignment horizontal="center" vertical="center"/>
    </xf>
    <xf numFmtId="0" fontId="4" fillId="0" borderId="69" xfId="0" applyFont="1" applyBorder="1" applyAlignment="1"/>
    <xf numFmtId="0" fontId="12" fillId="13" borderId="56" xfId="0" applyFont="1" applyFill="1" applyBorder="1" applyAlignment="1">
      <alignment horizontal="center" vertical="center"/>
    </xf>
    <xf numFmtId="0" fontId="22" fillId="13" borderId="33" xfId="0" applyFont="1" applyFill="1" applyBorder="1" applyAlignment="1">
      <alignment horizontal="center" vertical="center"/>
    </xf>
    <xf numFmtId="0" fontId="7" fillId="13" borderId="33" xfId="0" applyFont="1" applyFill="1" applyBorder="1" applyAlignment="1">
      <alignment horizontal="center" vertical="center"/>
    </xf>
    <xf numFmtId="0" fontId="7" fillId="13" borderId="33" xfId="0" applyFont="1" applyFill="1" applyBorder="1" applyAlignment="1">
      <alignment horizontal="center" vertical="center" wrapText="1"/>
    </xf>
    <xf numFmtId="0" fontId="7" fillId="13" borderId="45" xfId="0" applyFont="1" applyFill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0" fontId="12" fillId="13" borderId="58" xfId="0" applyFont="1" applyFill="1" applyBorder="1" applyAlignment="1">
      <alignment horizontal="center" vertical="center"/>
    </xf>
    <xf numFmtId="0" fontId="22" fillId="13" borderId="40" xfId="0" applyFont="1" applyFill="1" applyBorder="1" applyAlignment="1">
      <alignment horizontal="center" vertical="center"/>
    </xf>
    <xf numFmtId="0" fontId="7" fillId="13" borderId="40" xfId="0" applyFont="1" applyFill="1" applyBorder="1" applyAlignment="1">
      <alignment horizontal="center" vertical="center"/>
    </xf>
    <xf numFmtId="0" fontId="7" fillId="13" borderId="40" xfId="0" applyFont="1" applyFill="1" applyBorder="1" applyAlignment="1">
      <alignment horizontal="center" vertical="center" wrapText="1"/>
    </xf>
    <xf numFmtId="0" fontId="7" fillId="13" borderId="39" xfId="0" applyFont="1" applyFill="1" applyBorder="1" applyAlignment="1">
      <alignment horizontal="center" vertical="center" wrapText="1"/>
    </xf>
    <xf numFmtId="0" fontId="12" fillId="13" borderId="37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31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" fontId="0" fillId="0" borderId="61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/>
    </xf>
    <xf numFmtId="164" fontId="41" fillId="0" borderId="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4" fillId="0" borderId="7" xfId="0" applyFont="1" applyFill="1" applyBorder="1" applyAlignment="1"/>
    <xf numFmtId="164" fontId="1" fillId="0" borderId="6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2" fontId="42" fillId="0" borderId="4" xfId="0" applyNumberFormat="1" applyFont="1" applyBorder="1" applyAlignment="1">
      <alignment horizontal="center" vertical="center"/>
    </xf>
    <xf numFmtId="2" fontId="42" fillId="0" borderId="35" xfId="0" applyNumberFormat="1" applyFont="1" applyBorder="1" applyAlignment="1">
      <alignment horizontal="center" vertical="center"/>
    </xf>
    <xf numFmtId="2" fontId="42" fillId="0" borderId="5" xfId="0" applyNumberFormat="1" applyFont="1" applyBorder="1" applyAlignment="1">
      <alignment horizontal="center" vertical="center"/>
    </xf>
    <xf numFmtId="2" fontId="42" fillId="0" borderId="40" xfId="0" applyNumberFormat="1" applyFont="1" applyBorder="1" applyAlignment="1">
      <alignment horizontal="center" vertical="center"/>
    </xf>
    <xf numFmtId="2" fontId="42" fillId="0" borderId="39" xfId="0" applyNumberFormat="1" applyFon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2" fontId="0" fillId="0" borderId="60" xfId="0" applyNumberFormat="1" applyBorder="1" applyAlignment="1">
      <alignment horizontal="center" vertical="center"/>
    </xf>
    <xf numFmtId="2" fontId="0" fillId="0" borderId="29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 vertical="center"/>
    </xf>
    <xf numFmtId="0" fontId="4" fillId="9" borderId="40" xfId="0" applyFont="1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28" xfId="0" applyBorder="1"/>
    <xf numFmtId="0" fontId="0" fillId="0" borderId="30" xfId="0" applyBorder="1"/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 indent="2"/>
    </xf>
    <xf numFmtId="2" fontId="0" fillId="0" borderId="47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29" xfId="0" applyNumberForma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2" fillId="0" borderId="22" xfId="0" applyNumberFormat="1" applyFont="1" applyBorder="1"/>
    <xf numFmtId="164" fontId="0" fillId="0" borderId="39" xfId="0" applyNumberFormat="1" applyBorder="1" applyAlignment="1">
      <alignment horizontal="center" vertical="center"/>
    </xf>
    <xf numFmtId="164" fontId="12" fillId="0" borderId="0" xfId="0" applyNumberFormat="1" applyFont="1" applyBorder="1"/>
    <xf numFmtId="164" fontId="12" fillId="0" borderId="23" xfId="0" applyNumberFormat="1" applyFont="1" applyBorder="1"/>
    <xf numFmtId="2" fontId="12" fillId="0" borderId="24" xfId="0" applyNumberFormat="1" applyFont="1" applyBorder="1"/>
    <xf numFmtId="164" fontId="12" fillId="0" borderId="23" xfId="0" applyNumberFormat="1" applyFont="1" applyFill="1" applyBorder="1"/>
    <xf numFmtId="1" fontId="0" fillId="0" borderId="3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right"/>
    </xf>
    <xf numFmtId="0" fontId="14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2" fontId="0" fillId="0" borderId="29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2" fontId="0" fillId="0" borderId="10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60" xfId="0" applyNumberFormat="1" applyFont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1" fontId="0" fillId="0" borderId="0" xfId="0" quotePrefix="1" applyNumberFormat="1" applyBorder="1" applyAlignment="1">
      <alignment horizontal="center" vertical="center"/>
    </xf>
    <xf numFmtId="0" fontId="0" fillId="0" borderId="47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2" fontId="0" fillId="0" borderId="31" xfId="0" applyNumberFormat="1" applyFont="1" applyBorder="1" applyAlignment="1">
      <alignment horizontal="center" vertical="center"/>
    </xf>
    <xf numFmtId="2" fontId="0" fillId="0" borderId="32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6" fillId="2" borderId="13" xfId="0" applyFont="1" applyFill="1" applyBorder="1"/>
    <xf numFmtId="164" fontId="0" fillId="14" borderId="34" xfId="0" applyNumberFormat="1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6" fillId="0" borderId="58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37" xfId="0" applyNumberFormat="1" applyFont="1" applyBorder="1" applyAlignment="1">
      <alignment horizontal="center" vertical="center"/>
    </xf>
    <xf numFmtId="2" fontId="0" fillId="0" borderId="28" xfId="0" applyNumberFormat="1" applyFont="1" applyBorder="1" applyAlignment="1">
      <alignment horizontal="center" vertical="center"/>
    </xf>
    <xf numFmtId="2" fontId="0" fillId="0" borderId="50" xfId="0" applyNumberFormat="1" applyFont="1" applyBorder="1" applyAlignment="1">
      <alignment horizontal="center" vertical="center"/>
    </xf>
    <xf numFmtId="0" fontId="6" fillId="0" borderId="68" xfId="0" applyFont="1" applyBorder="1" applyAlignment="1">
      <alignment vertical="center" wrapText="1"/>
    </xf>
    <xf numFmtId="2" fontId="0" fillId="0" borderId="3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7" fillId="13" borderId="56" xfId="0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164" fontId="0" fillId="0" borderId="56" xfId="0" applyNumberFormat="1" applyFont="1" applyBorder="1" applyAlignment="1">
      <alignment horizontal="center" vertical="center"/>
    </xf>
    <xf numFmtId="164" fontId="0" fillId="0" borderId="45" xfId="0" applyNumberFormat="1" applyFont="1" applyBorder="1" applyAlignment="1">
      <alignment horizontal="center" vertical="center"/>
    </xf>
    <xf numFmtId="2" fontId="0" fillId="0" borderId="62" xfId="0" applyNumberFormat="1" applyFont="1" applyBorder="1" applyAlignment="1">
      <alignment horizontal="center" vertical="center"/>
    </xf>
    <xf numFmtId="2" fontId="0" fillId="0" borderId="46" xfId="0" applyNumberFormat="1" applyFont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/>
    </xf>
    <xf numFmtId="2" fontId="0" fillId="0" borderId="28" xfId="0" applyNumberFormat="1" applyFill="1" applyBorder="1" applyAlignment="1">
      <alignment horizontal="center" vertical="center"/>
    </xf>
    <xf numFmtId="2" fontId="0" fillId="0" borderId="30" xfId="0" applyNumberFormat="1" applyFill="1" applyBorder="1" applyAlignment="1">
      <alignment horizontal="center" vertical="center"/>
    </xf>
    <xf numFmtId="2" fontId="0" fillId="0" borderId="32" xfId="0" applyNumberForma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28" xfId="0" applyNumberFormat="1" applyFont="1" applyFill="1" applyBorder="1" applyAlignment="1">
      <alignment horizontal="center" vertical="center"/>
    </xf>
    <xf numFmtId="2" fontId="0" fillId="0" borderId="30" xfId="0" applyNumberFormat="1" applyFont="1" applyFill="1" applyBorder="1" applyAlignment="1">
      <alignment horizontal="center" vertical="center"/>
    </xf>
    <xf numFmtId="2" fontId="0" fillId="0" borderId="32" xfId="0" applyNumberFormat="1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167" fontId="0" fillId="0" borderId="0" xfId="0" applyNumberFormat="1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0" fontId="47" fillId="0" borderId="0" xfId="0" applyFont="1" applyAlignment="1">
      <alignment horizontal="center"/>
    </xf>
    <xf numFmtId="0" fontId="0" fillId="0" borderId="6" xfId="0" applyFill="1" applyBorder="1" applyAlignment="1">
      <alignment horizontal="left"/>
    </xf>
    <xf numFmtId="0" fontId="0" fillId="0" borderId="1" xfId="0" applyFill="1" applyBorder="1" applyAlignment="1">
      <alignment horizontal="left" vertical="center"/>
    </xf>
    <xf numFmtId="0" fontId="47" fillId="0" borderId="1" xfId="0" applyFont="1" applyBorder="1"/>
    <xf numFmtId="0" fontId="49" fillId="0" borderId="1" xfId="0" applyFont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49" fillId="0" borderId="1" xfId="0" applyFont="1" applyBorder="1"/>
    <xf numFmtId="0" fontId="49" fillId="0" borderId="0" xfId="0" applyFont="1" applyAlignment="1">
      <alignment horizontal="center"/>
    </xf>
    <xf numFmtId="165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0" fillId="0" borderId="0" xfId="0" applyFill="1" applyBorder="1"/>
    <xf numFmtId="0" fontId="6" fillId="9" borderId="47" xfId="0" applyFont="1" applyFill="1" applyBorder="1" applyAlignment="1">
      <alignment vertical="center"/>
    </xf>
    <xf numFmtId="0" fontId="4" fillId="0" borderId="47" xfId="0" applyFont="1" applyFill="1" applyBorder="1" applyAlignment="1">
      <alignment horizontal="center" vertical="center"/>
    </xf>
    <xf numFmtId="0" fontId="0" fillId="2" borderId="0" xfId="0" applyFill="1" applyBorder="1"/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/>
    </xf>
    <xf numFmtId="0" fontId="30" fillId="4" borderId="47" xfId="0" applyFont="1" applyFill="1" applyBorder="1" applyAlignment="1">
      <alignment horizontal="center"/>
    </xf>
    <xf numFmtId="0" fontId="30" fillId="4" borderId="48" xfId="0" applyFont="1" applyFill="1" applyBorder="1" applyAlignment="1">
      <alignment horizontal="center"/>
    </xf>
    <xf numFmtId="0" fontId="30" fillId="4" borderId="6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4" fillId="7" borderId="47" xfId="0" applyFont="1" applyFill="1" applyBorder="1" applyAlignment="1">
      <alignment horizontal="center"/>
    </xf>
    <xf numFmtId="0" fontId="4" fillId="7" borderId="48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4" borderId="67" xfId="0" applyFont="1" applyFill="1" applyBorder="1" applyAlignment="1">
      <alignment horizontal="center"/>
    </xf>
    <xf numFmtId="0" fontId="6" fillId="4" borderId="6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0" borderId="40" xfId="0" applyFont="1" applyBorder="1" applyAlignment="1">
      <alignment horizontal="center" vertical="center"/>
    </xf>
    <xf numFmtId="0" fontId="0" fillId="0" borderId="68" xfId="0" applyBorder="1" applyAlignment="1">
      <alignment horizontal="center"/>
    </xf>
    <xf numFmtId="0" fontId="6" fillId="7" borderId="56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6" fillId="0" borderId="47" xfId="0" applyFont="1" applyBorder="1" applyAlignment="1">
      <alignment horizontal="center" wrapText="1"/>
    </xf>
    <xf numFmtId="0" fontId="12" fillId="0" borderId="47" xfId="0" applyFont="1" applyBorder="1" applyAlignment="1">
      <alignment horizontal="center" wrapText="1"/>
    </xf>
    <xf numFmtId="0" fontId="34" fillId="12" borderId="62" xfId="0" applyFont="1" applyFill="1" applyBorder="1" applyAlignment="1">
      <alignment horizontal="center" vertical="center"/>
    </xf>
    <xf numFmtId="0" fontId="34" fillId="12" borderId="38" xfId="0" applyFont="1" applyFill="1" applyBorder="1" applyAlignment="1">
      <alignment horizontal="center" vertical="center"/>
    </xf>
    <xf numFmtId="0" fontId="34" fillId="12" borderId="46" xfId="0" applyFont="1" applyFill="1" applyBorder="1" applyAlignment="1">
      <alignment horizontal="center" vertical="center"/>
    </xf>
    <xf numFmtId="0" fontId="34" fillId="12" borderId="28" xfId="0" applyFont="1" applyFill="1" applyBorder="1" applyAlignment="1">
      <alignment horizontal="center" vertical="center"/>
    </xf>
    <xf numFmtId="0" fontId="34" fillId="12" borderId="29" xfId="0" applyFont="1" applyFill="1" applyBorder="1" applyAlignment="1">
      <alignment horizontal="center" vertical="center"/>
    </xf>
    <xf numFmtId="0" fontId="34" fillId="12" borderId="30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34" fillId="12" borderId="56" xfId="0" applyFont="1" applyFill="1" applyBorder="1" applyAlignment="1">
      <alignment horizontal="center" vertical="center"/>
    </xf>
    <xf numFmtId="0" fontId="34" fillId="12" borderId="33" xfId="0" applyFont="1" applyFill="1" applyBorder="1" applyAlignment="1">
      <alignment horizontal="center" vertical="center"/>
    </xf>
    <xf numFmtId="0" fontId="34" fillId="12" borderId="45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/>
    </xf>
    <xf numFmtId="0" fontId="6" fillId="0" borderId="7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4" fillId="12" borderId="59" xfId="0" applyFont="1" applyFill="1" applyBorder="1" applyAlignment="1">
      <alignment horizontal="center" vertical="center"/>
    </xf>
    <xf numFmtId="0" fontId="34" fillId="12" borderId="10" xfId="0" applyFont="1" applyFill="1" applyBorder="1" applyAlignment="1">
      <alignment horizontal="center" vertical="center"/>
    </xf>
    <xf numFmtId="0" fontId="34" fillId="12" borderId="6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left" wrapText="1"/>
    </xf>
    <xf numFmtId="0" fontId="6" fillId="0" borderId="74" xfId="0" applyFont="1" applyBorder="1" applyAlignment="1">
      <alignment horizontal="left" wrapText="1"/>
    </xf>
    <xf numFmtId="0" fontId="6" fillId="0" borderId="28" xfId="0" applyFont="1" applyBorder="1" applyAlignment="1">
      <alignment horizontal="left" wrapText="1"/>
    </xf>
    <xf numFmtId="0" fontId="6" fillId="0" borderId="34" xfId="0" applyFont="1" applyBorder="1" applyAlignment="1">
      <alignment horizontal="left" wrapText="1"/>
    </xf>
    <xf numFmtId="0" fontId="12" fillId="0" borderId="31" xfId="0" applyFont="1" applyBorder="1" applyAlignment="1">
      <alignment horizontal="left"/>
    </xf>
    <xf numFmtId="0" fontId="12" fillId="0" borderId="4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35" xfId="0" applyFont="1" applyBorder="1" applyAlignment="1">
      <alignment horizontal="left"/>
    </xf>
    <xf numFmtId="0" fontId="12" fillId="0" borderId="25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0" fillId="0" borderId="52" xfId="0" applyBorder="1" applyAlignment="1">
      <alignment horizontal="center"/>
    </xf>
    <xf numFmtId="0" fontId="0" fillId="0" borderId="73" xfId="0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1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2" fontId="0" fillId="0" borderId="14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34" fillId="12" borderId="16" xfId="0" applyFont="1" applyFill="1" applyBorder="1" applyAlignment="1">
      <alignment horizontal="center" vertical="center"/>
    </xf>
    <xf numFmtId="0" fontId="34" fillId="12" borderId="17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6" fillId="0" borderId="4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0" fillId="0" borderId="70" xfId="0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7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0" fontId="0" fillId="0" borderId="14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0" fontId="12" fillId="4" borderId="1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center"/>
    </xf>
    <xf numFmtId="0" fontId="12" fillId="4" borderId="21" xfId="0" applyFont="1" applyFill="1" applyBorder="1" applyAlignment="1">
      <alignment horizontal="center"/>
    </xf>
    <xf numFmtId="0" fontId="0" fillId="7" borderId="25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7" borderId="14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5" borderId="22" xfId="0" applyFill="1" applyBorder="1" applyAlignment="1">
      <alignment horizontal="center" wrapText="1"/>
    </xf>
    <xf numFmtId="0" fontId="0" fillId="5" borderId="24" xfId="0" applyFill="1" applyBorder="1" applyAlignment="1">
      <alignment horizont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wrapText="1"/>
    </xf>
    <xf numFmtId="0" fontId="12" fillId="4" borderId="60" xfId="0" applyFont="1" applyFill="1" applyBorder="1" applyAlignment="1">
      <alignment horizontal="center" wrapText="1"/>
    </xf>
    <xf numFmtId="0" fontId="12" fillId="4" borderId="28" xfId="0" applyFont="1" applyFill="1" applyBorder="1" applyAlignment="1">
      <alignment horizontal="center" wrapText="1"/>
    </xf>
    <xf numFmtId="0" fontId="12" fillId="4" borderId="37" xfId="0" applyFont="1" applyFill="1" applyBorder="1" applyAlignment="1">
      <alignment horizontal="center" wrapText="1"/>
    </xf>
    <xf numFmtId="0" fontId="12" fillId="4" borderId="33" xfId="0" applyFont="1" applyFill="1" applyBorder="1" applyAlignment="1">
      <alignment horizontal="center" wrapText="1"/>
    </xf>
    <xf numFmtId="0" fontId="12" fillId="4" borderId="38" xfId="0" applyFont="1" applyFill="1" applyBorder="1" applyAlignment="1">
      <alignment horizontal="center" wrapText="1"/>
    </xf>
    <xf numFmtId="0" fontId="12" fillId="4" borderId="56" xfId="0" applyFont="1" applyFill="1" applyBorder="1" applyAlignment="1">
      <alignment horizontal="center" vertical="center"/>
    </xf>
    <xf numFmtId="0" fontId="12" fillId="4" borderId="5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center" wrapText="1"/>
    </xf>
    <xf numFmtId="0" fontId="12" fillId="4" borderId="39" xfId="0" applyFont="1" applyFill="1" applyBorder="1" applyAlignment="1">
      <alignment horizontal="center" wrapText="1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22" fillId="6" borderId="29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23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12" fillId="6" borderId="33" xfId="0" applyFont="1" applyFill="1" applyBorder="1" applyAlignment="1">
      <alignment horizontal="center" wrapText="1"/>
    </xf>
    <xf numFmtId="0" fontId="12" fillId="6" borderId="38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6" fillId="6" borderId="10" xfId="0" applyFont="1" applyFill="1" applyBorder="1" applyAlignment="1">
      <alignment horizontal="center" wrapText="1"/>
    </xf>
    <xf numFmtId="0" fontId="4" fillId="0" borderId="4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9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9" borderId="1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vertical="center"/>
    </xf>
    <xf numFmtId="0" fontId="34" fillId="10" borderId="22" xfId="0" applyFont="1" applyFill="1" applyBorder="1" applyAlignment="1">
      <alignment horizontal="center" vertical="center"/>
    </xf>
    <xf numFmtId="0" fontId="34" fillId="10" borderId="24" xfId="0" applyFont="1" applyFill="1" applyBorder="1" applyAlignment="1">
      <alignment horizontal="center" vertical="center"/>
    </xf>
    <xf numFmtId="0" fontId="4" fillId="9" borderId="40" xfId="0" applyFont="1" applyFill="1" applyBorder="1" applyAlignment="1">
      <alignment horizontal="center" wrapText="1"/>
    </xf>
    <xf numFmtId="0" fontId="4" fillId="9" borderId="10" xfId="0" applyFont="1" applyFill="1" applyBorder="1" applyAlignment="1">
      <alignment horizontal="center" wrapText="1"/>
    </xf>
    <xf numFmtId="0" fontId="6" fillId="9" borderId="40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4" fillId="9" borderId="40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47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wrapText="1"/>
    </xf>
    <xf numFmtId="0" fontId="6" fillId="9" borderId="10" xfId="0" applyFont="1" applyFill="1" applyBorder="1" applyAlignment="1">
      <alignment horizontal="center" wrapText="1"/>
    </xf>
    <xf numFmtId="0" fontId="6" fillId="9" borderId="40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4" fillId="9" borderId="38" xfId="0" applyFont="1" applyFill="1" applyBorder="1" applyAlignment="1">
      <alignment horizontal="center" vertical="center" wrapText="1"/>
    </xf>
    <xf numFmtId="0" fontId="34" fillId="10" borderId="23" xfId="0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/>
    </xf>
    <xf numFmtId="0" fontId="6" fillId="9" borderId="20" xfId="0" applyFont="1" applyFill="1" applyBorder="1" applyAlignment="1">
      <alignment horizontal="center"/>
    </xf>
    <xf numFmtId="0" fontId="6" fillId="9" borderId="21" xfId="0" applyFont="1" applyFill="1" applyBorder="1" applyAlignment="1">
      <alignment horizontal="center"/>
    </xf>
    <xf numFmtId="0" fontId="12" fillId="9" borderId="50" xfId="0" applyFont="1" applyFill="1" applyBorder="1" applyAlignment="1">
      <alignment horizontal="center"/>
    </xf>
    <xf numFmtId="0" fontId="12" fillId="9" borderId="13" xfId="0" applyFont="1" applyFill="1" applyBorder="1" applyAlignment="1">
      <alignment horizontal="center"/>
    </xf>
    <xf numFmtId="0" fontId="33" fillId="10" borderId="56" xfId="0" applyFont="1" applyFill="1" applyBorder="1" applyAlignment="1">
      <alignment horizontal="center" vertical="center"/>
    </xf>
    <xf numFmtId="0" fontId="32" fillId="10" borderId="33" xfId="0" applyFont="1" applyFill="1" applyBorder="1" applyAlignment="1">
      <alignment horizontal="center" vertical="center"/>
    </xf>
    <xf numFmtId="0" fontId="32" fillId="10" borderId="12" xfId="0" applyFont="1" applyFill="1" applyBorder="1" applyAlignment="1">
      <alignment horizontal="center" vertical="center"/>
    </xf>
    <xf numFmtId="0" fontId="32" fillId="10" borderId="13" xfId="0" applyFont="1" applyFill="1" applyBorder="1" applyAlignment="1">
      <alignment horizontal="center" vertical="center"/>
    </xf>
    <xf numFmtId="0" fontId="33" fillId="8" borderId="14" xfId="0" applyFont="1" applyFill="1" applyBorder="1" applyAlignment="1">
      <alignment horizontal="center" vertical="center"/>
    </xf>
    <xf numFmtId="0" fontId="33" fillId="8" borderId="0" xfId="0" applyFont="1" applyFill="1" applyBorder="1" applyAlignment="1">
      <alignment horizontal="center" vertical="center"/>
    </xf>
    <xf numFmtId="0" fontId="33" fillId="8" borderId="26" xfId="0" applyFont="1" applyFill="1" applyBorder="1" applyAlignment="1">
      <alignment horizontal="center" vertical="center"/>
    </xf>
    <xf numFmtId="0" fontId="33" fillId="8" borderId="27" xfId="0" applyFont="1" applyFill="1" applyBorder="1" applyAlignment="1">
      <alignment horizontal="center" vertical="center"/>
    </xf>
    <xf numFmtId="0" fontId="33" fillId="10" borderId="62" xfId="0" applyFont="1" applyFill="1" applyBorder="1" applyAlignment="1">
      <alignment horizontal="center" vertical="center"/>
    </xf>
    <xf numFmtId="0" fontId="32" fillId="10" borderId="38" xfId="0" applyFont="1" applyFill="1" applyBorder="1" applyAlignment="1">
      <alignment horizontal="center" vertical="center"/>
    </xf>
    <xf numFmtId="0" fontId="32" fillId="10" borderId="63" xfId="0" applyFont="1" applyFill="1" applyBorder="1" applyAlignment="1">
      <alignment horizontal="center" vertical="center"/>
    </xf>
    <xf numFmtId="0" fontId="32" fillId="10" borderId="64" xfId="0" applyFont="1" applyFill="1" applyBorder="1" applyAlignment="1">
      <alignment horizontal="center" vertical="center"/>
    </xf>
    <xf numFmtId="0" fontId="32" fillId="10" borderId="45" xfId="0" applyFont="1" applyFill="1" applyBorder="1" applyAlignment="1">
      <alignment horizontal="center" vertical="center"/>
    </xf>
    <xf numFmtId="0" fontId="33" fillId="10" borderId="65" xfId="0" applyFont="1" applyFill="1" applyBorder="1" applyAlignment="1">
      <alignment horizontal="center" vertical="center"/>
    </xf>
    <xf numFmtId="0" fontId="33" fillId="10" borderId="50" xfId="0" applyFont="1" applyFill="1" applyBorder="1" applyAlignment="1">
      <alignment horizontal="center" vertical="center"/>
    </xf>
    <xf numFmtId="0" fontId="33" fillId="8" borderId="25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wrapText="1"/>
    </xf>
    <xf numFmtId="0" fontId="30" fillId="0" borderId="0" xfId="0" applyFont="1" applyAlignment="1">
      <alignment horizontal="left" vertical="center"/>
    </xf>
    <xf numFmtId="0" fontId="37" fillId="9" borderId="1" xfId="0" applyFont="1" applyFill="1" applyBorder="1" applyAlignment="1">
      <alignment horizontal="center" vertical="center" wrapText="1"/>
    </xf>
    <xf numFmtId="0" fontId="36" fillId="10" borderId="0" xfId="0" applyFont="1" applyFill="1" applyAlignment="1">
      <alignment horizontal="center"/>
    </xf>
    <xf numFmtId="0" fontId="6" fillId="9" borderId="4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 wrapText="1"/>
    </xf>
    <xf numFmtId="0" fontId="6" fillId="9" borderId="31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30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33" fillId="10" borderId="19" xfId="0" applyFont="1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30" fillId="15" borderId="19" xfId="0" applyFont="1" applyFill="1" applyBorder="1" applyAlignment="1">
      <alignment horizontal="center"/>
    </xf>
    <xf numFmtId="0" fontId="30" fillId="15" borderId="2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9966"/>
      <color rgb="FFFFCC99"/>
      <color rgb="FFFFFFCC"/>
      <color rgb="FFFFFF99"/>
      <color rgb="FFCCFF99"/>
      <color rgb="FF99CCFF"/>
      <color rgb="FF000066"/>
      <color rgb="FF000099"/>
      <color rgb="FF0000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68580</xdr:colOff>
      <xdr:row>33</xdr:row>
      <xdr:rowOff>77176</xdr:rowOff>
    </xdr:from>
    <xdr:to>
      <xdr:col>14</xdr:col>
      <xdr:colOff>357378</xdr:colOff>
      <xdr:row>50</xdr:row>
      <xdr:rowOff>149939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8D5DC32-CC22-4793-8E7A-1A5209567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0280" y="6592276"/>
          <a:ext cx="4830318" cy="3524623"/>
        </a:xfrm>
        <a:prstGeom prst="rect">
          <a:avLst/>
        </a:prstGeom>
      </xdr:spPr>
    </xdr:pic>
    <xdr:clientData/>
  </xdr:twoCellAnchor>
  <xdr:twoCellAnchor editAs="oneCell">
    <xdr:from>
      <xdr:col>14</xdr:col>
      <xdr:colOff>182881</xdr:colOff>
      <xdr:row>34</xdr:row>
      <xdr:rowOff>7620</xdr:rowOff>
    </xdr:from>
    <xdr:to>
      <xdr:col>20</xdr:col>
      <xdr:colOff>378689</xdr:colOff>
      <xdr:row>49</xdr:row>
      <xdr:rowOff>104219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208B28BE-AAFC-4B2B-9D6E-1E462A6F9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06101" y="6728460"/>
          <a:ext cx="4287748" cy="3114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75"/>
  <sheetViews>
    <sheetView workbookViewId="0">
      <selection activeCell="R5" sqref="R5"/>
    </sheetView>
  </sheetViews>
  <sheetFormatPr defaultRowHeight="14.4" x14ac:dyDescent="0.3"/>
  <cols>
    <col min="1" max="4" width="10.77734375" customWidth="1"/>
    <col min="5" max="5" width="12" customWidth="1"/>
    <col min="6" max="6" width="11.88671875" customWidth="1"/>
    <col min="7" max="9" width="10.77734375" customWidth="1"/>
    <col min="10" max="10" width="11.77734375" customWidth="1"/>
    <col min="11" max="11" width="10.77734375" customWidth="1"/>
    <col min="12" max="12" width="14.21875" customWidth="1"/>
    <col min="13" max="16" width="10.77734375" customWidth="1"/>
    <col min="17" max="17" width="12" customWidth="1"/>
    <col min="18" max="18" width="12.109375" customWidth="1"/>
    <col min="22" max="22" width="10.6640625" customWidth="1"/>
    <col min="23" max="23" width="12" customWidth="1"/>
    <col min="24" max="24" width="10" customWidth="1"/>
    <col min="27" max="27" width="9.6640625" customWidth="1"/>
    <col min="28" max="28" width="12" customWidth="1"/>
  </cols>
  <sheetData>
    <row r="1" spans="1:24" ht="16.0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4" ht="16.05" customHeight="1" x14ac:dyDescent="0.4">
      <c r="A2" s="1"/>
      <c r="C2" s="503" t="s">
        <v>3</v>
      </c>
      <c r="D2" s="503"/>
      <c r="E2" s="503"/>
      <c r="F2" s="503"/>
      <c r="G2" s="503"/>
      <c r="H2" s="503"/>
      <c r="I2" s="86"/>
      <c r="J2" s="80" t="s">
        <v>128</v>
      </c>
      <c r="K2" s="79">
        <f>5</f>
        <v>5</v>
      </c>
      <c r="L2" s="85" t="s">
        <v>129</v>
      </c>
      <c r="M2" s="79">
        <v>4.7</v>
      </c>
      <c r="N2" s="1"/>
      <c r="O2" s="519" t="s">
        <v>114</v>
      </c>
      <c r="P2" s="520"/>
      <c r="Q2" s="520"/>
      <c r="R2" s="520"/>
      <c r="S2" s="521"/>
      <c r="T2" s="508" t="s">
        <v>138</v>
      </c>
      <c r="U2" s="508"/>
      <c r="V2" s="508"/>
      <c r="W2" s="504"/>
      <c r="X2" s="504"/>
    </row>
    <row r="3" spans="1:24" ht="16.05" customHeight="1" x14ac:dyDescent="0.3">
      <c r="A3" s="1"/>
      <c r="C3" s="498" t="s">
        <v>119</v>
      </c>
      <c r="D3" s="498"/>
      <c r="E3" s="498"/>
      <c r="F3" s="498"/>
      <c r="G3" s="498"/>
      <c r="H3" s="498"/>
      <c r="I3" s="64"/>
      <c r="J3" s="80" t="s">
        <v>126</v>
      </c>
      <c r="K3" s="78">
        <f>K2/25</f>
        <v>0.2</v>
      </c>
      <c r="L3" s="85" t="s">
        <v>126</v>
      </c>
      <c r="M3" s="78">
        <f>M2/20</f>
        <v>0.23500000000000001</v>
      </c>
      <c r="N3" s="1"/>
      <c r="O3" s="522" t="s">
        <v>115</v>
      </c>
      <c r="P3" s="522" t="s">
        <v>116</v>
      </c>
      <c r="Q3" s="522" t="s">
        <v>117</v>
      </c>
      <c r="R3" s="502" t="s">
        <v>118</v>
      </c>
      <c r="S3" s="502" t="s">
        <v>131</v>
      </c>
      <c r="T3" s="505" t="s">
        <v>115</v>
      </c>
      <c r="U3" s="505" t="s">
        <v>116</v>
      </c>
      <c r="V3" s="505" t="s">
        <v>117</v>
      </c>
      <c r="W3" s="507" t="s">
        <v>118</v>
      </c>
      <c r="X3" s="507" t="s">
        <v>131</v>
      </c>
    </row>
    <row r="4" spans="1:24" ht="16.05" customHeight="1" x14ac:dyDescent="0.3">
      <c r="A4" s="1"/>
      <c r="B4" s="71"/>
      <c r="C4" s="499" t="s">
        <v>123</v>
      </c>
      <c r="D4" s="501" t="s">
        <v>124</v>
      </c>
      <c r="E4" s="501" t="s">
        <v>125</v>
      </c>
      <c r="F4" s="501" t="s">
        <v>132</v>
      </c>
      <c r="G4" s="501" t="s">
        <v>130</v>
      </c>
      <c r="H4" s="501" t="s">
        <v>131</v>
      </c>
      <c r="I4" s="83"/>
      <c r="J4" s="512" t="s">
        <v>127</v>
      </c>
      <c r="K4" s="512"/>
      <c r="L4" s="513">
        <v>0.24</v>
      </c>
      <c r="M4" s="514"/>
      <c r="N4" s="1"/>
      <c r="O4" s="505"/>
      <c r="P4" s="505"/>
      <c r="Q4" s="505"/>
      <c r="R4" s="507"/>
      <c r="S4" s="507"/>
      <c r="T4" s="506"/>
      <c r="U4" s="506"/>
      <c r="V4" s="506"/>
      <c r="W4" s="501"/>
      <c r="X4" s="501"/>
    </row>
    <row r="5" spans="1:24" ht="16.05" customHeight="1" x14ac:dyDescent="0.3">
      <c r="A5" s="1"/>
      <c r="C5" s="499"/>
      <c r="D5" s="501"/>
      <c r="E5" s="501"/>
      <c r="F5" s="501"/>
      <c r="G5" s="501"/>
      <c r="H5" s="501"/>
      <c r="I5" s="83"/>
      <c r="J5" s="1"/>
      <c r="K5" s="1"/>
      <c r="L5" s="1"/>
      <c r="M5" s="1"/>
      <c r="N5" s="1"/>
      <c r="O5" s="288">
        <v>0.3</v>
      </c>
      <c r="P5" s="288">
        <v>0.7</v>
      </c>
      <c r="Q5" s="370">
        <f>(0.2*$L$4+O5*P5)*'Carichi unitari'!$P$3</f>
        <v>6.45</v>
      </c>
      <c r="R5" s="81">
        <f>(O5+0.2)*$H$9</f>
        <v>1.460974025974026</v>
      </c>
      <c r="S5" s="89">
        <f>Q5-R5</f>
        <v>4.9890259740259744</v>
      </c>
      <c r="T5" s="56">
        <f>L4</f>
        <v>0.24</v>
      </c>
      <c r="U5" s="56">
        <v>1</v>
      </c>
      <c r="V5" s="56">
        <f>T5*U5*$G$7</f>
        <v>6</v>
      </c>
      <c r="W5" s="81">
        <f>U5*$H$9</f>
        <v>2.9219480519480521</v>
      </c>
      <c r="X5" s="89">
        <f>V5-W5</f>
        <v>3.0780519480519479</v>
      </c>
    </row>
    <row r="6" spans="1:24" ht="16.05" customHeight="1" x14ac:dyDescent="0.3">
      <c r="A6" s="1"/>
      <c r="B6" s="80" t="s">
        <v>120</v>
      </c>
      <c r="C6" s="82">
        <v>0.04</v>
      </c>
      <c r="D6" s="56">
        <v>1</v>
      </c>
      <c r="E6" s="56">
        <v>1</v>
      </c>
      <c r="F6" s="56"/>
      <c r="G6" s="56">
        <f>'Carichi unitari'!$P$3</f>
        <v>25</v>
      </c>
      <c r="H6" s="56">
        <f>C6*G6</f>
        <v>1</v>
      </c>
      <c r="I6" s="63"/>
      <c r="J6" s="1"/>
      <c r="K6" s="1"/>
      <c r="L6" s="1"/>
      <c r="M6" s="1"/>
      <c r="N6" s="1"/>
      <c r="O6" s="519" t="s">
        <v>239</v>
      </c>
      <c r="P6" s="520"/>
      <c r="Q6" s="520"/>
      <c r="R6" s="520"/>
      <c r="S6" s="521"/>
      <c r="T6" s="504" t="s">
        <v>139</v>
      </c>
      <c r="U6" s="504"/>
      <c r="V6" s="504"/>
      <c r="W6" s="504"/>
      <c r="X6" s="504"/>
    </row>
    <row r="7" spans="1:24" ht="16.05" customHeight="1" x14ac:dyDescent="0.3">
      <c r="A7" s="1"/>
      <c r="B7" s="80" t="s">
        <v>121</v>
      </c>
      <c r="C7" s="82">
        <f>$L$4-C6</f>
        <v>0.19999999999999998</v>
      </c>
      <c r="D7" s="56">
        <v>0.08</v>
      </c>
      <c r="E7" s="56">
        <v>1</v>
      </c>
      <c r="F7" s="56">
        <v>3</v>
      </c>
      <c r="G7" s="56">
        <f>$G$6</f>
        <v>25</v>
      </c>
      <c r="H7" s="56">
        <f>G7*C7*D7*F7</f>
        <v>1.2000000000000002</v>
      </c>
      <c r="I7" s="63"/>
      <c r="J7" s="1"/>
      <c r="K7" s="1"/>
      <c r="L7" s="1"/>
      <c r="M7" s="1"/>
      <c r="N7" s="1"/>
      <c r="O7" s="522" t="s">
        <v>115</v>
      </c>
      <c r="P7" s="522" t="s">
        <v>116</v>
      </c>
      <c r="Q7" s="522" t="s">
        <v>117</v>
      </c>
      <c r="R7" s="502" t="s">
        <v>118</v>
      </c>
      <c r="S7" s="502" t="s">
        <v>131</v>
      </c>
      <c r="T7" s="505" t="s">
        <v>115</v>
      </c>
      <c r="U7" s="505" t="s">
        <v>116</v>
      </c>
      <c r="V7" s="505" t="s">
        <v>117</v>
      </c>
      <c r="W7" s="507" t="s">
        <v>118</v>
      </c>
      <c r="X7" s="507" t="s">
        <v>131</v>
      </c>
    </row>
    <row r="8" spans="1:24" ht="16.05" customHeight="1" x14ac:dyDescent="0.3">
      <c r="A8" s="1"/>
      <c r="B8" s="80" t="s">
        <v>122</v>
      </c>
      <c r="C8" s="82">
        <v>0.2</v>
      </c>
      <c r="D8" s="56">
        <v>0.33</v>
      </c>
      <c r="E8" s="56">
        <v>0.35</v>
      </c>
      <c r="F8" s="76">
        <v>3</v>
      </c>
      <c r="G8" s="81"/>
      <c r="H8" s="81">
        <f>8.5*9.81/(D8*E8)/1000</f>
        <v>0.72194805194805201</v>
      </c>
      <c r="I8" s="84"/>
      <c r="J8" s="1"/>
      <c r="K8" s="1"/>
      <c r="L8" s="1"/>
      <c r="M8" s="1"/>
      <c r="N8" s="1"/>
      <c r="O8" s="505"/>
      <c r="P8" s="505"/>
      <c r="Q8" s="505"/>
      <c r="R8" s="507"/>
      <c r="S8" s="507"/>
      <c r="T8" s="506"/>
      <c r="U8" s="506"/>
      <c r="V8" s="506"/>
      <c r="W8" s="501"/>
      <c r="X8" s="501"/>
    </row>
    <row r="9" spans="1:24" ht="16.05" customHeight="1" x14ac:dyDescent="0.3">
      <c r="A9" s="1"/>
      <c r="B9" s="80" t="s">
        <v>65</v>
      </c>
      <c r="C9" s="60"/>
      <c r="D9" s="60"/>
      <c r="E9" s="60"/>
      <c r="F9" s="1"/>
      <c r="G9" s="1"/>
      <c r="H9" s="89">
        <f>H6+H7+H8</f>
        <v>2.9219480519480521</v>
      </c>
      <c r="I9" s="84"/>
      <c r="J9" s="1"/>
      <c r="K9" s="1"/>
      <c r="L9" s="1"/>
      <c r="M9" s="1"/>
      <c r="N9" s="1"/>
      <c r="O9" s="288">
        <v>0.3</v>
      </c>
      <c r="P9" s="288">
        <v>0.6</v>
      </c>
      <c r="Q9" s="370">
        <f>(0.2*$L$4+O9*P9)*'Carichi unitari'!$P$3</f>
        <v>5.6999999999999993</v>
      </c>
      <c r="R9" s="81">
        <f>(O9+0.2)*$H$9</f>
        <v>1.460974025974026</v>
      </c>
      <c r="S9" s="89">
        <f>Q9-R9</f>
        <v>4.2390259740259735</v>
      </c>
      <c r="T9" s="56">
        <f>T5</f>
        <v>0.24</v>
      </c>
      <c r="U9" s="56">
        <v>0.6</v>
      </c>
      <c r="V9" s="296">
        <f>T9*U9*$G$7</f>
        <v>3.5999999999999996</v>
      </c>
      <c r="W9" s="81">
        <f>U9*$H$9</f>
        <v>1.7531688311688312</v>
      </c>
      <c r="X9" s="89">
        <f>V9-W9</f>
        <v>1.8468311688311685</v>
      </c>
    </row>
    <row r="10" spans="1:24" ht="16.05" customHeight="1" x14ac:dyDescent="0.3">
      <c r="A10" s="1"/>
      <c r="B10" s="87"/>
      <c r="C10" s="498" t="s">
        <v>133</v>
      </c>
      <c r="D10" s="498"/>
      <c r="E10" s="498"/>
      <c r="F10" s="498"/>
      <c r="G10" s="498"/>
      <c r="H10" s="498"/>
      <c r="I10" s="84"/>
      <c r="J10" s="1"/>
      <c r="K10" s="1"/>
      <c r="L10" s="1"/>
      <c r="M10" s="1"/>
      <c r="N10" s="1"/>
      <c r="O10" s="519" t="s">
        <v>240</v>
      </c>
      <c r="P10" s="520"/>
      <c r="Q10" s="520"/>
      <c r="R10" s="520"/>
      <c r="S10" s="521"/>
    </row>
    <row r="11" spans="1:24" ht="16.05" customHeight="1" x14ac:dyDescent="0.3">
      <c r="A11" s="1"/>
      <c r="B11" s="87"/>
      <c r="C11" s="499" t="s">
        <v>123</v>
      </c>
      <c r="D11" s="501" t="s">
        <v>124</v>
      </c>
      <c r="E11" s="501" t="s">
        <v>125</v>
      </c>
      <c r="F11" s="501"/>
      <c r="G11" s="501" t="s">
        <v>130</v>
      </c>
      <c r="H11" s="501" t="s">
        <v>131</v>
      </c>
      <c r="I11" s="84"/>
      <c r="J11" s="1"/>
      <c r="K11" s="1"/>
      <c r="L11" s="1"/>
      <c r="M11" s="1"/>
      <c r="N11" s="1"/>
      <c r="O11" s="522" t="s">
        <v>115</v>
      </c>
      <c r="P11" s="522" t="s">
        <v>116</v>
      </c>
      <c r="Q11" s="522" t="s">
        <v>117</v>
      </c>
      <c r="R11" s="502" t="s">
        <v>118</v>
      </c>
      <c r="S11" s="502" t="s">
        <v>131</v>
      </c>
    </row>
    <row r="12" spans="1:24" ht="16.05" customHeight="1" x14ac:dyDescent="0.3">
      <c r="A12" s="1"/>
      <c r="B12" s="87"/>
      <c r="C12" s="500"/>
      <c r="D12" s="502"/>
      <c r="E12" s="502"/>
      <c r="F12" s="502"/>
      <c r="G12" s="502"/>
      <c r="H12" s="502"/>
      <c r="I12" s="84"/>
      <c r="J12" s="1"/>
      <c r="K12" s="1"/>
      <c r="L12" s="1"/>
      <c r="M12" s="1"/>
      <c r="N12" s="1"/>
      <c r="O12" s="505"/>
      <c r="P12" s="505"/>
      <c r="Q12" s="505"/>
      <c r="R12" s="507"/>
      <c r="S12" s="507"/>
    </row>
    <row r="13" spans="1:24" ht="16.05" customHeight="1" x14ac:dyDescent="0.3">
      <c r="A13" s="1"/>
      <c r="B13" s="80" t="s">
        <v>135</v>
      </c>
      <c r="C13" s="92">
        <v>0.03</v>
      </c>
      <c r="D13" s="93">
        <v>1</v>
      </c>
      <c r="E13" s="93">
        <v>1</v>
      </c>
      <c r="F13" s="93"/>
      <c r="G13" s="231">
        <f>18</f>
        <v>18</v>
      </c>
      <c r="H13" s="93">
        <f>C13*D13*E13*G13</f>
        <v>0.54</v>
      </c>
      <c r="I13" s="84"/>
      <c r="J13" s="1"/>
      <c r="K13" s="1"/>
      <c r="L13" s="1"/>
      <c r="M13" s="1"/>
      <c r="N13" s="1"/>
      <c r="O13" s="288">
        <v>0.3</v>
      </c>
      <c r="P13" s="288">
        <v>0.5</v>
      </c>
      <c r="Q13" s="370">
        <f>(0.2*$L$4+O13*P13)*'Carichi unitari'!$P$3</f>
        <v>4.95</v>
      </c>
      <c r="R13" s="81">
        <f>(O13+0.2)*$H$9</f>
        <v>1.460974025974026</v>
      </c>
      <c r="S13" s="89">
        <f>Q13-R13</f>
        <v>3.4890259740259744</v>
      </c>
    </row>
    <row r="14" spans="1:24" ht="16.05" customHeight="1" x14ac:dyDescent="0.3">
      <c r="A14" s="1"/>
      <c r="B14" s="80" t="s">
        <v>318</v>
      </c>
      <c r="C14" s="92">
        <v>0.02</v>
      </c>
      <c r="D14" s="93">
        <v>1</v>
      </c>
      <c r="E14" s="93">
        <v>1</v>
      </c>
      <c r="F14" s="93"/>
      <c r="G14" s="93">
        <f>22</f>
        <v>22</v>
      </c>
      <c r="H14" s="93">
        <f>C14*D14*E14*G14</f>
        <v>0.44</v>
      </c>
      <c r="I14" s="84"/>
      <c r="J14" s="1"/>
      <c r="K14" s="1"/>
      <c r="L14" s="1"/>
      <c r="M14" s="1"/>
      <c r="N14" s="1"/>
    </row>
    <row r="15" spans="1:24" ht="16.05" customHeight="1" x14ac:dyDescent="0.3">
      <c r="A15" s="1"/>
      <c r="B15" s="80" t="s">
        <v>136</v>
      </c>
      <c r="C15" s="94">
        <v>0.02</v>
      </c>
      <c r="D15" s="93">
        <v>1</v>
      </c>
      <c r="E15" s="93">
        <v>1</v>
      </c>
      <c r="F15" s="93"/>
      <c r="G15" s="93">
        <v>20</v>
      </c>
      <c r="H15" s="93">
        <f>C15*D15*E15*G15</f>
        <v>0.4</v>
      </c>
      <c r="I15" s="84"/>
      <c r="J15" s="1"/>
      <c r="K15" s="1"/>
      <c r="L15" s="1"/>
      <c r="M15" s="1"/>
      <c r="N15" s="1"/>
    </row>
    <row r="16" spans="1:24" ht="16.05" customHeight="1" x14ac:dyDescent="0.3">
      <c r="A16" s="1"/>
      <c r="B16" s="80" t="s">
        <v>65</v>
      </c>
      <c r="C16" s="88"/>
      <c r="D16" s="83"/>
      <c r="E16" s="83"/>
      <c r="F16" s="83"/>
      <c r="G16" s="83"/>
      <c r="H16" s="290">
        <f>H13+H14+H15</f>
        <v>1.38</v>
      </c>
      <c r="I16" s="84"/>
      <c r="J16" s="1"/>
      <c r="K16" s="1"/>
      <c r="L16" s="1"/>
      <c r="M16" s="1"/>
      <c r="N16" s="1"/>
    </row>
    <row r="17" spans="1:14" ht="16.05" customHeight="1" x14ac:dyDescent="0.3">
      <c r="A17" s="1"/>
      <c r="B17" s="87"/>
      <c r="C17" s="88"/>
      <c r="D17" s="83"/>
      <c r="E17" s="83"/>
      <c r="F17" s="83"/>
      <c r="G17" s="83"/>
      <c r="H17" s="83"/>
      <c r="I17" s="84"/>
      <c r="J17" s="1"/>
      <c r="K17" s="1"/>
      <c r="L17" s="1"/>
      <c r="M17" s="1"/>
      <c r="N17" s="1"/>
    </row>
    <row r="18" spans="1:14" ht="16.05" customHeight="1" x14ac:dyDescent="0.4">
      <c r="A18" s="1"/>
      <c r="C18" s="503" t="s">
        <v>235</v>
      </c>
      <c r="D18" s="503"/>
      <c r="E18" s="503"/>
      <c r="F18" s="503"/>
      <c r="G18" s="503"/>
      <c r="H18" s="503"/>
      <c r="I18" s="84"/>
      <c r="J18" s="80" t="s">
        <v>128</v>
      </c>
      <c r="K18" s="79">
        <f>1.5</f>
        <v>1.5</v>
      </c>
      <c r="L18" s="1"/>
      <c r="M18" s="1"/>
      <c r="N18" s="1"/>
    </row>
    <row r="19" spans="1:14" ht="16.05" customHeight="1" x14ac:dyDescent="0.3">
      <c r="A19" s="1"/>
      <c r="C19" s="498" t="s">
        <v>119</v>
      </c>
      <c r="D19" s="498"/>
      <c r="E19" s="498"/>
      <c r="F19" s="498"/>
      <c r="G19" s="498"/>
      <c r="H19" s="498"/>
      <c r="I19" s="84"/>
      <c r="J19" s="80" t="s">
        <v>127</v>
      </c>
      <c r="K19" s="79">
        <v>0.2</v>
      </c>
      <c r="L19" s="1"/>
      <c r="M19" s="1"/>
      <c r="N19" s="1"/>
    </row>
    <row r="20" spans="1:14" ht="16.05" customHeight="1" x14ac:dyDescent="0.3">
      <c r="A20" s="1"/>
      <c r="B20" s="286"/>
      <c r="C20" s="499" t="s">
        <v>123</v>
      </c>
      <c r="D20" s="501" t="s">
        <v>124</v>
      </c>
      <c r="E20" s="501" t="s">
        <v>125</v>
      </c>
      <c r="F20" s="501" t="s">
        <v>132</v>
      </c>
      <c r="G20" s="501" t="s">
        <v>130</v>
      </c>
      <c r="H20" s="501" t="s">
        <v>131</v>
      </c>
      <c r="I20" s="84"/>
      <c r="J20" s="1"/>
      <c r="K20" s="1"/>
      <c r="L20" s="1"/>
      <c r="M20" s="1"/>
      <c r="N20" s="1"/>
    </row>
    <row r="21" spans="1:14" ht="16.05" customHeight="1" x14ac:dyDescent="0.3">
      <c r="A21" s="1"/>
      <c r="C21" s="499"/>
      <c r="D21" s="501"/>
      <c r="E21" s="501"/>
      <c r="F21" s="501"/>
      <c r="G21" s="501"/>
      <c r="H21" s="501"/>
      <c r="I21" s="84"/>
      <c r="J21" s="1"/>
      <c r="K21" s="1"/>
      <c r="L21" s="1"/>
      <c r="M21" s="1"/>
      <c r="N21" s="1"/>
    </row>
    <row r="22" spans="1:14" ht="16.05" customHeight="1" x14ac:dyDescent="0.3">
      <c r="A22" s="1"/>
      <c r="B22" s="80" t="s">
        <v>120</v>
      </c>
      <c r="C22" s="82">
        <v>0.04</v>
      </c>
      <c r="D22" s="285">
        <v>1</v>
      </c>
      <c r="E22" s="285">
        <v>1</v>
      </c>
      <c r="F22" s="285"/>
      <c r="G22" s="285">
        <f>$G$6</f>
        <v>25</v>
      </c>
      <c r="H22" s="285">
        <f>C22*G22</f>
        <v>1</v>
      </c>
      <c r="I22" s="84"/>
      <c r="J22" s="1"/>
      <c r="K22" s="1"/>
      <c r="L22" s="1"/>
      <c r="M22" s="1"/>
      <c r="N22" s="1"/>
    </row>
    <row r="23" spans="1:14" ht="16.05" customHeight="1" x14ac:dyDescent="0.3">
      <c r="A23" s="1"/>
      <c r="B23" s="80" t="s">
        <v>121</v>
      </c>
      <c r="C23" s="82">
        <f>K19-C22</f>
        <v>0.16</v>
      </c>
      <c r="D23" s="285">
        <v>0.08</v>
      </c>
      <c r="E23" s="285">
        <v>1</v>
      </c>
      <c r="F23" s="285">
        <v>3</v>
      </c>
      <c r="G23" s="285">
        <f>$G$22</f>
        <v>25</v>
      </c>
      <c r="H23" s="285">
        <f>G23*C23*D23*F23</f>
        <v>0.96</v>
      </c>
      <c r="I23" s="84"/>
      <c r="J23" s="1"/>
      <c r="K23" s="1"/>
      <c r="L23" s="1"/>
      <c r="M23" s="1"/>
      <c r="N23" s="1"/>
    </row>
    <row r="24" spans="1:14" ht="16.05" customHeight="1" x14ac:dyDescent="0.3">
      <c r="A24" s="1"/>
      <c r="B24" s="80" t="s">
        <v>122</v>
      </c>
      <c r="C24" s="82">
        <v>0.16</v>
      </c>
      <c r="D24" s="285">
        <v>0.33</v>
      </c>
      <c r="E24" s="285">
        <v>0.33</v>
      </c>
      <c r="F24" s="76">
        <v>3</v>
      </c>
      <c r="G24" s="81"/>
      <c r="H24" s="81">
        <f>7*9.81/(D24*E24)/1000</f>
        <v>0.63057851239669416</v>
      </c>
      <c r="I24" s="84"/>
      <c r="J24" s="1">
        <f>7*9.81/(D24*E24)/1000</f>
        <v>0.63057851239669416</v>
      </c>
      <c r="K24" s="1"/>
      <c r="L24" s="1"/>
      <c r="M24" s="1"/>
      <c r="N24" s="1"/>
    </row>
    <row r="25" spans="1:14" ht="16.05" customHeight="1" x14ac:dyDescent="0.3">
      <c r="A25" s="1"/>
      <c r="B25" s="80" t="s">
        <v>65</v>
      </c>
      <c r="C25" s="60"/>
      <c r="D25" s="60"/>
      <c r="E25" s="60"/>
      <c r="F25" s="1"/>
      <c r="G25" s="1"/>
      <c r="H25" s="89">
        <f>H22+H23+H24</f>
        <v>2.5905785123966942</v>
      </c>
      <c r="I25" s="84"/>
      <c r="J25" s="1"/>
      <c r="K25" s="1"/>
      <c r="L25" s="1"/>
      <c r="M25" s="1"/>
      <c r="N25" s="1"/>
    </row>
    <row r="26" spans="1:14" ht="16.05" customHeight="1" x14ac:dyDescent="0.3">
      <c r="A26" s="1"/>
      <c r="B26" s="87"/>
      <c r="C26" s="498" t="s">
        <v>133</v>
      </c>
      <c r="D26" s="498"/>
      <c r="E26" s="498"/>
      <c r="F26" s="498"/>
      <c r="G26" s="498"/>
      <c r="H26" s="498"/>
      <c r="I26" s="84"/>
      <c r="J26" s="1"/>
      <c r="K26" s="1"/>
      <c r="L26" s="1"/>
      <c r="M26" s="1"/>
      <c r="N26" s="1"/>
    </row>
    <row r="27" spans="1:14" ht="16.05" customHeight="1" x14ac:dyDescent="0.3">
      <c r="A27" s="1"/>
      <c r="B27" s="87"/>
      <c r="C27" s="499" t="s">
        <v>123</v>
      </c>
      <c r="D27" s="501" t="s">
        <v>124</v>
      </c>
      <c r="E27" s="501" t="s">
        <v>125</v>
      </c>
      <c r="F27" s="501"/>
      <c r="G27" s="501" t="s">
        <v>130</v>
      </c>
      <c r="H27" s="501" t="s">
        <v>131</v>
      </c>
      <c r="I27" s="84"/>
      <c r="J27" s="1"/>
      <c r="K27" s="1"/>
      <c r="L27" s="1"/>
      <c r="M27" s="1"/>
      <c r="N27" s="1"/>
    </row>
    <row r="28" spans="1:14" ht="16.05" customHeight="1" x14ac:dyDescent="0.3">
      <c r="A28" s="1"/>
      <c r="B28" s="87"/>
      <c r="C28" s="500"/>
      <c r="D28" s="502"/>
      <c r="E28" s="502"/>
      <c r="F28" s="502"/>
      <c r="G28" s="502"/>
      <c r="H28" s="502"/>
      <c r="I28" s="84"/>
      <c r="J28" s="1"/>
      <c r="K28" s="1"/>
      <c r="L28" s="1"/>
      <c r="M28" s="1"/>
      <c r="N28" s="1"/>
    </row>
    <row r="29" spans="1:14" ht="16.05" customHeight="1" x14ac:dyDescent="0.3">
      <c r="A29" s="1"/>
      <c r="B29" s="80" t="s">
        <v>135</v>
      </c>
      <c r="C29" s="92">
        <v>0.03</v>
      </c>
      <c r="D29" s="93">
        <v>1</v>
      </c>
      <c r="E29" s="93">
        <v>1</v>
      </c>
      <c r="F29" s="93"/>
      <c r="G29" s="231">
        <f>18</f>
        <v>18</v>
      </c>
      <c r="H29" s="93">
        <f>C29*D29*E29*G29</f>
        <v>0.54</v>
      </c>
      <c r="I29" s="84"/>
      <c r="J29" s="1"/>
      <c r="K29" s="1"/>
      <c r="L29" s="1"/>
      <c r="M29" s="1"/>
      <c r="N29" s="1"/>
    </row>
    <row r="30" spans="1:14" ht="16.05" customHeight="1" x14ac:dyDescent="0.3">
      <c r="A30" s="1"/>
      <c r="B30" s="80" t="s">
        <v>134</v>
      </c>
      <c r="C30" s="92">
        <v>0.02</v>
      </c>
      <c r="D30" s="93">
        <v>1</v>
      </c>
      <c r="E30" s="93">
        <v>1</v>
      </c>
      <c r="F30" s="93"/>
      <c r="G30" s="93">
        <v>20</v>
      </c>
      <c r="H30" s="93">
        <f>C30*D30*E30*G30</f>
        <v>0.4</v>
      </c>
      <c r="I30" s="84"/>
      <c r="J30" s="1"/>
      <c r="K30" s="1"/>
      <c r="L30" s="1"/>
      <c r="M30" s="1"/>
      <c r="N30" s="1"/>
    </row>
    <row r="31" spans="1:14" ht="16.05" customHeight="1" x14ac:dyDescent="0.3">
      <c r="A31" s="1"/>
      <c r="B31" s="80" t="s">
        <v>136</v>
      </c>
      <c r="C31" s="94">
        <v>0.02</v>
      </c>
      <c r="D31" s="93">
        <v>1</v>
      </c>
      <c r="E31" s="93">
        <v>1</v>
      </c>
      <c r="F31" s="93"/>
      <c r="G31" s="93">
        <v>20</v>
      </c>
      <c r="H31" s="93">
        <f>C31*D31*E31*G31</f>
        <v>0.4</v>
      </c>
      <c r="I31" s="84"/>
      <c r="J31" s="1"/>
      <c r="K31" s="1"/>
      <c r="L31" s="1"/>
      <c r="M31" s="1"/>
      <c r="N31" s="1"/>
    </row>
    <row r="32" spans="1:14" ht="16.05" customHeight="1" x14ac:dyDescent="0.3">
      <c r="A32" s="1"/>
      <c r="B32" s="80" t="s">
        <v>65</v>
      </c>
      <c r="C32" s="88"/>
      <c r="D32" s="83"/>
      <c r="E32" s="83"/>
      <c r="F32" s="83"/>
      <c r="G32" s="83"/>
      <c r="H32" s="284">
        <f>H29+H30+H31</f>
        <v>1.34</v>
      </c>
      <c r="I32" s="1"/>
      <c r="J32" s="1"/>
      <c r="K32" s="1"/>
      <c r="L32" s="1"/>
      <c r="M32" s="1"/>
      <c r="N32" s="1"/>
    </row>
    <row r="33" spans="1:14" ht="16.05" customHeight="1" x14ac:dyDescent="0.3">
      <c r="A33" s="1"/>
      <c r="B33" s="87"/>
      <c r="C33" s="88"/>
      <c r="D33" s="83"/>
      <c r="E33" s="83"/>
      <c r="F33" s="83"/>
      <c r="G33" s="83"/>
      <c r="H33" s="83"/>
      <c r="I33" s="1"/>
      <c r="J33" s="1"/>
      <c r="K33" s="1"/>
      <c r="L33" s="1"/>
      <c r="M33" s="1"/>
      <c r="N33" s="1"/>
    </row>
    <row r="34" spans="1:14" ht="16.05" customHeight="1" x14ac:dyDescent="0.35">
      <c r="A34" s="1"/>
      <c r="C34" s="503" t="s">
        <v>7</v>
      </c>
      <c r="D34" s="503"/>
      <c r="E34" s="503"/>
      <c r="F34" s="503"/>
      <c r="G34" s="503"/>
      <c r="H34" s="503"/>
      <c r="I34" s="1"/>
      <c r="J34" s="1"/>
      <c r="K34" s="1"/>
      <c r="L34" s="1"/>
      <c r="M34" s="1"/>
      <c r="N34" s="1"/>
    </row>
    <row r="35" spans="1:14" ht="16.05" customHeight="1" x14ac:dyDescent="0.3">
      <c r="A35" s="1"/>
      <c r="C35" s="498" t="s">
        <v>119</v>
      </c>
      <c r="D35" s="498"/>
      <c r="E35" s="498"/>
      <c r="F35" s="498"/>
      <c r="G35" s="498"/>
      <c r="H35" s="498"/>
    </row>
    <row r="36" spans="1:14" ht="16.05" customHeight="1" x14ac:dyDescent="0.3">
      <c r="A36" s="1"/>
      <c r="B36" s="287"/>
      <c r="C36" s="499" t="s">
        <v>123</v>
      </c>
      <c r="D36" s="501" t="s">
        <v>124</v>
      </c>
      <c r="E36" s="501" t="s">
        <v>125</v>
      </c>
      <c r="F36" s="501" t="s">
        <v>132</v>
      </c>
      <c r="G36" s="501" t="s">
        <v>130</v>
      </c>
      <c r="H36" s="501" t="s">
        <v>131</v>
      </c>
    </row>
    <row r="37" spans="1:14" ht="16.05" customHeight="1" x14ac:dyDescent="0.3">
      <c r="A37" s="1"/>
      <c r="C37" s="499"/>
      <c r="D37" s="501"/>
      <c r="E37" s="501"/>
      <c r="F37" s="501"/>
      <c r="G37" s="501"/>
      <c r="H37" s="501"/>
    </row>
    <row r="38" spans="1:14" ht="16.05" customHeight="1" x14ac:dyDescent="0.3">
      <c r="A38" s="1"/>
      <c r="B38" s="80" t="s">
        <v>120</v>
      </c>
      <c r="C38" s="82">
        <v>0.14000000000000001</v>
      </c>
      <c r="D38" s="288">
        <v>1</v>
      </c>
      <c r="E38" s="288"/>
      <c r="F38" s="288"/>
      <c r="G38" s="288">
        <f>$G$22</f>
        <v>25</v>
      </c>
      <c r="H38" s="288">
        <f>C38*G38*D38</f>
        <v>3.5000000000000004</v>
      </c>
    </row>
    <row r="39" spans="1:14" ht="26.4" customHeight="1" x14ac:dyDescent="0.3">
      <c r="A39" s="1"/>
      <c r="B39" s="373" t="s">
        <v>353</v>
      </c>
      <c r="C39" s="289">
        <f>0.3*0.16/2</f>
        <v>2.4E-2</v>
      </c>
      <c r="D39" s="288">
        <v>1</v>
      </c>
      <c r="E39" s="288"/>
      <c r="F39" s="288">
        <v>3</v>
      </c>
      <c r="G39" s="370">
        <f>$G$22</f>
        <v>25</v>
      </c>
      <c r="H39" s="81">
        <f>G39*C39*D39*F39</f>
        <v>1.7999999999999998</v>
      </c>
      <c r="I39" s="1"/>
      <c r="J39" s="1"/>
      <c r="K39" s="1"/>
      <c r="L39" s="1"/>
      <c r="M39" s="1"/>
      <c r="N39" s="1"/>
    </row>
    <row r="40" spans="1:14" ht="16.8" customHeight="1" x14ac:dyDescent="0.3">
      <c r="A40" s="1"/>
      <c r="B40" s="373" t="s">
        <v>365</v>
      </c>
      <c r="C40" s="289">
        <v>0.02</v>
      </c>
      <c r="D40" s="391">
        <v>1</v>
      </c>
      <c r="E40" s="391"/>
      <c r="F40" s="391"/>
      <c r="G40" s="292">
        <f>18</f>
        <v>18</v>
      </c>
      <c r="H40" s="81">
        <f>C40*D40*G40</f>
        <v>0.36</v>
      </c>
      <c r="I40" s="1"/>
      <c r="J40" s="1"/>
      <c r="K40" s="1"/>
      <c r="L40" s="1"/>
      <c r="M40" s="1"/>
      <c r="N40" s="1"/>
    </row>
    <row r="41" spans="1:14" ht="16.05" customHeight="1" x14ac:dyDescent="0.3">
      <c r="A41" s="1"/>
      <c r="B41" s="80" t="s">
        <v>320</v>
      </c>
      <c r="C41" s="374">
        <f>0.02*0.16</f>
        <v>3.2000000000000002E-3</v>
      </c>
      <c r="D41" s="402">
        <f>0.03*0.3</f>
        <v>8.9999999999999993E-3</v>
      </c>
      <c r="E41" s="288">
        <v>1</v>
      </c>
      <c r="F41" s="76">
        <v>3</v>
      </c>
      <c r="G41" s="288">
        <f>27</f>
        <v>27</v>
      </c>
      <c r="H41" s="81">
        <f>(C41*E41+D41*E41)*F41*G41</f>
        <v>0.98819999999999986</v>
      </c>
      <c r="I41" s="1"/>
      <c r="J41" s="1"/>
      <c r="K41" s="1"/>
      <c r="L41" s="1"/>
      <c r="M41" s="1"/>
      <c r="N41" s="1"/>
    </row>
    <row r="42" spans="1:14" ht="16.05" customHeight="1" x14ac:dyDescent="0.3">
      <c r="A42" s="1"/>
      <c r="B42" s="80" t="s">
        <v>136</v>
      </c>
      <c r="C42" s="94">
        <v>0.02</v>
      </c>
      <c r="D42" s="93">
        <v>1</v>
      </c>
      <c r="E42" s="93">
        <v>1</v>
      </c>
      <c r="F42" s="93"/>
      <c r="G42" s="93">
        <v>20</v>
      </c>
      <c r="H42" s="93">
        <f>C42*D42*E42*G42</f>
        <v>0.4</v>
      </c>
      <c r="I42" s="1"/>
      <c r="J42" s="1"/>
      <c r="K42" s="1"/>
      <c r="L42" s="1"/>
      <c r="M42" s="1"/>
      <c r="N42" s="1"/>
    </row>
    <row r="43" spans="1:14" ht="16.05" customHeight="1" x14ac:dyDescent="0.3">
      <c r="A43" s="1"/>
      <c r="B43" s="80" t="s">
        <v>65</v>
      </c>
      <c r="C43" s="60"/>
      <c r="D43" s="60"/>
      <c r="E43" s="60"/>
      <c r="F43" s="1"/>
      <c r="G43" s="1"/>
      <c r="H43" s="89">
        <f>H38+H39+H41+H40+H42</f>
        <v>7.0482000000000014</v>
      </c>
      <c r="I43" s="1"/>
      <c r="J43" s="1"/>
      <c r="K43" s="1"/>
      <c r="L43" s="1"/>
      <c r="M43" s="1"/>
      <c r="N43" s="1"/>
    </row>
    <row r="44" spans="1:14" ht="16.05" customHeight="1" x14ac:dyDescent="0.3">
      <c r="A44" s="1"/>
      <c r="B44" s="1"/>
      <c r="C44" s="1"/>
      <c r="G44" s="1"/>
      <c r="H44" s="1"/>
      <c r="I44" s="1"/>
      <c r="J44" s="1"/>
      <c r="K44" s="1"/>
      <c r="L44" s="1"/>
      <c r="M44" s="1"/>
      <c r="N44" s="1"/>
    </row>
    <row r="45" spans="1:14" ht="16.05" customHeight="1" x14ac:dyDescent="0.35">
      <c r="A45" s="1"/>
      <c r="C45" s="509" t="s">
        <v>236</v>
      </c>
      <c r="D45" s="510"/>
      <c r="E45" s="510"/>
      <c r="F45" s="510"/>
      <c r="G45" s="510"/>
      <c r="H45" s="511"/>
      <c r="I45" s="1"/>
      <c r="J45" s="1"/>
      <c r="K45" s="1"/>
      <c r="L45" s="1"/>
      <c r="M45" s="1"/>
      <c r="N45" s="1"/>
    </row>
    <row r="46" spans="1:14" ht="16.05" customHeight="1" x14ac:dyDescent="0.3">
      <c r="A46" s="1"/>
      <c r="C46" s="515" t="s">
        <v>133</v>
      </c>
      <c r="D46" s="516"/>
      <c r="E46" s="516"/>
      <c r="F46" s="516"/>
      <c r="G46" s="516"/>
      <c r="H46" s="517"/>
      <c r="J46" s="1"/>
      <c r="K46" s="1"/>
      <c r="L46" s="1"/>
      <c r="M46" s="1"/>
      <c r="N46" s="1"/>
    </row>
    <row r="47" spans="1:14" ht="16.05" customHeight="1" x14ac:dyDescent="0.3">
      <c r="A47" s="1"/>
      <c r="B47" s="287"/>
      <c r="C47" s="500" t="s">
        <v>123</v>
      </c>
      <c r="D47" s="502" t="s">
        <v>124</v>
      </c>
      <c r="E47" s="502" t="s">
        <v>125</v>
      </c>
      <c r="F47" s="502" t="s">
        <v>132</v>
      </c>
      <c r="G47" s="502" t="s">
        <v>463</v>
      </c>
      <c r="H47" s="502" t="s">
        <v>319</v>
      </c>
      <c r="J47" s="1"/>
      <c r="K47" s="1"/>
      <c r="L47" s="1"/>
      <c r="M47" s="1"/>
      <c r="N47" s="1"/>
    </row>
    <row r="48" spans="1:14" ht="16.05" customHeight="1" x14ac:dyDescent="0.3">
      <c r="A48" s="1"/>
      <c r="C48" s="518"/>
      <c r="D48" s="507"/>
      <c r="E48" s="507"/>
      <c r="F48" s="507"/>
      <c r="G48" s="507"/>
      <c r="H48" s="507"/>
      <c r="J48" s="1"/>
      <c r="K48" s="1"/>
      <c r="L48" s="1"/>
      <c r="M48" s="1"/>
      <c r="N48" s="1"/>
    </row>
    <row r="49" spans="1:14" ht="16.05" customHeight="1" x14ac:dyDescent="0.3">
      <c r="A49" s="1"/>
      <c r="B49" s="80" t="s">
        <v>237</v>
      </c>
      <c r="C49" s="82">
        <f>'Carichi unitari'!$M$4-$L$4-$C$13-$C$14-$C$15</f>
        <v>2.89</v>
      </c>
      <c r="D49" s="292">
        <v>1</v>
      </c>
      <c r="E49" s="288">
        <v>0.08</v>
      </c>
      <c r="F49" s="288"/>
      <c r="G49" s="81">
        <f>5.6*9.81/1000/(0.35*0.24)</f>
        <v>0.65400000000000003</v>
      </c>
      <c r="H49" s="375">
        <f>C49*G49</f>
        <v>1.8900600000000001</v>
      </c>
      <c r="J49" s="1"/>
      <c r="K49" s="1"/>
      <c r="L49" s="1"/>
      <c r="M49" s="1"/>
      <c r="N49" s="1"/>
    </row>
    <row r="50" spans="1:14" ht="16.05" customHeight="1" x14ac:dyDescent="0.3">
      <c r="A50" s="1"/>
      <c r="B50" s="80" t="s">
        <v>136</v>
      </c>
      <c r="C50" s="82">
        <f>C49</f>
        <v>2.89</v>
      </c>
      <c r="D50" s="288">
        <v>0.02</v>
      </c>
      <c r="E50" s="288">
        <v>1</v>
      </c>
      <c r="F50" s="288"/>
      <c r="G50" s="288">
        <v>20</v>
      </c>
      <c r="H50" s="288">
        <f>G50*C50*D50</f>
        <v>1.1560000000000001</v>
      </c>
      <c r="J50" s="1"/>
      <c r="K50" s="1"/>
      <c r="L50" s="1"/>
      <c r="M50" s="1"/>
      <c r="N50" s="1"/>
    </row>
    <row r="51" spans="1:14" ht="16.05" customHeight="1" x14ac:dyDescent="0.3">
      <c r="A51" s="1"/>
      <c r="B51" s="80" t="s">
        <v>65</v>
      </c>
      <c r="C51" s="60"/>
      <c r="D51" s="60"/>
      <c r="E51" s="60"/>
      <c r="F51" s="1"/>
      <c r="G51" s="1"/>
      <c r="H51" s="89">
        <f>H49+H50</f>
        <v>3.0460600000000002</v>
      </c>
      <c r="J51" s="1"/>
      <c r="K51" s="1"/>
      <c r="L51" s="1"/>
      <c r="M51" s="1"/>
      <c r="N51" s="1"/>
    </row>
    <row r="52" spans="1:14" ht="16.05" customHeight="1" x14ac:dyDescent="0.3">
      <c r="A52" s="1"/>
      <c r="B52" s="1"/>
      <c r="J52" s="1"/>
      <c r="K52" s="1"/>
      <c r="L52" s="1"/>
      <c r="M52" s="1"/>
      <c r="N52" s="1"/>
    </row>
    <row r="53" spans="1:14" ht="16.0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6.05" customHeight="1" x14ac:dyDescent="0.35">
      <c r="A54" s="1"/>
      <c r="C54" s="509" t="s">
        <v>238</v>
      </c>
      <c r="D54" s="510"/>
      <c r="E54" s="510"/>
      <c r="F54" s="510"/>
      <c r="G54" s="510"/>
      <c r="H54" s="511"/>
      <c r="I54" s="1"/>
      <c r="J54" s="1"/>
      <c r="K54" s="1"/>
      <c r="L54" s="1"/>
      <c r="M54" s="1"/>
      <c r="N54" s="1"/>
    </row>
    <row r="55" spans="1:14" ht="16.05" customHeight="1" x14ac:dyDescent="0.3">
      <c r="A55" s="1"/>
      <c r="C55" s="515" t="s">
        <v>133</v>
      </c>
      <c r="D55" s="516"/>
      <c r="E55" s="516"/>
      <c r="F55" s="516"/>
      <c r="G55" s="516"/>
      <c r="H55" s="517"/>
      <c r="I55" s="1"/>
      <c r="J55" s="1"/>
      <c r="K55" s="1"/>
      <c r="L55" s="1"/>
      <c r="M55" s="1"/>
      <c r="N55" s="1"/>
    </row>
    <row r="56" spans="1:14" ht="16.05" customHeight="1" x14ac:dyDescent="0.3">
      <c r="A56" s="1"/>
      <c r="B56" s="287"/>
      <c r="C56" s="500" t="s">
        <v>123</v>
      </c>
      <c r="D56" s="502" t="s">
        <v>124</v>
      </c>
      <c r="E56" s="502" t="s">
        <v>125</v>
      </c>
      <c r="F56" s="502" t="s">
        <v>132</v>
      </c>
      <c r="G56" s="502" t="s">
        <v>130</v>
      </c>
      <c r="H56" s="502" t="s">
        <v>319</v>
      </c>
      <c r="I56" s="1"/>
      <c r="J56" s="1"/>
      <c r="K56" s="1"/>
      <c r="L56" s="1"/>
      <c r="M56" s="1"/>
      <c r="N56" s="1"/>
    </row>
    <row r="57" spans="1:14" ht="16.05" customHeight="1" x14ac:dyDescent="0.3">
      <c r="A57" s="1"/>
      <c r="C57" s="518"/>
      <c r="D57" s="507"/>
      <c r="E57" s="507"/>
      <c r="F57" s="507"/>
      <c r="G57" s="507"/>
      <c r="H57" s="507"/>
      <c r="I57" s="1"/>
      <c r="J57" s="1"/>
      <c r="K57" s="1"/>
      <c r="L57" s="1"/>
      <c r="M57" s="1"/>
      <c r="N57" s="1"/>
    </row>
    <row r="58" spans="1:14" ht="16.05" customHeight="1" x14ac:dyDescent="0.3">
      <c r="A58" s="1"/>
      <c r="B58" s="80" t="s">
        <v>237</v>
      </c>
      <c r="C58" s="82">
        <f>(C49)</f>
        <v>2.89</v>
      </c>
      <c r="D58" s="371">
        <v>1</v>
      </c>
      <c r="E58" s="288">
        <f>0.12</f>
        <v>0.12</v>
      </c>
      <c r="F58" s="288"/>
      <c r="G58" s="81">
        <f>9.81*8.5/(0.4*0.12*0.24)/1000</f>
        <v>7.2382812500000009</v>
      </c>
      <c r="H58" s="375">
        <f>C58*G58*E58</f>
        <v>2.5102359375000005</v>
      </c>
      <c r="I58" s="1"/>
      <c r="J58" s="1"/>
      <c r="K58" s="1"/>
      <c r="L58" s="1"/>
      <c r="M58" s="1"/>
      <c r="N58" s="1"/>
    </row>
    <row r="59" spans="1:14" ht="16.05" customHeight="1" x14ac:dyDescent="0.3">
      <c r="A59" s="1"/>
      <c r="B59" s="80" t="s">
        <v>237</v>
      </c>
      <c r="C59" s="82">
        <f>'Carichi unitari'!$M$4-$L$4-$C$13-$C$14-$C$15</f>
        <v>2.89</v>
      </c>
      <c r="D59" s="371">
        <v>1</v>
      </c>
      <c r="E59" s="370">
        <v>0.08</v>
      </c>
      <c r="F59" s="370"/>
      <c r="G59" s="81">
        <f>5.6*9.81/1000/(0.35*0.08*0.24)</f>
        <v>8.1750000000000007</v>
      </c>
      <c r="H59" s="375">
        <f>C59*G59*E59</f>
        <v>1.8900600000000003</v>
      </c>
      <c r="I59" s="1"/>
      <c r="J59" s="1"/>
      <c r="K59" s="1"/>
      <c r="L59" s="1"/>
      <c r="M59" s="1"/>
      <c r="N59" s="1"/>
    </row>
    <row r="60" spans="1:14" ht="16.05" customHeight="1" x14ac:dyDescent="0.3">
      <c r="A60" s="1"/>
      <c r="B60" s="80" t="s">
        <v>136</v>
      </c>
      <c r="C60" s="82">
        <f>C58</f>
        <v>2.89</v>
      </c>
      <c r="D60" s="288">
        <v>0.06</v>
      </c>
      <c r="E60" s="288">
        <v>1</v>
      </c>
      <c r="F60" s="288"/>
      <c r="G60" s="288">
        <v>20</v>
      </c>
      <c r="H60" s="81">
        <f>G60*C60*D60</f>
        <v>3.468</v>
      </c>
      <c r="J60" s="1"/>
      <c r="K60" s="1"/>
      <c r="L60" s="1"/>
      <c r="M60" s="1"/>
      <c r="N60" s="1"/>
    </row>
    <row r="61" spans="1:14" ht="16.05" customHeight="1" x14ac:dyDescent="0.3">
      <c r="A61" s="1"/>
      <c r="B61" s="80" t="s">
        <v>65</v>
      </c>
      <c r="C61" s="60"/>
      <c r="D61" s="60"/>
      <c r="E61" s="60"/>
      <c r="F61" s="1"/>
      <c r="G61" s="1"/>
      <c r="H61" s="89">
        <f>H58+H60</f>
        <v>5.9782359375000009</v>
      </c>
      <c r="J61" s="1"/>
      <c r="K61" s="1"/>
      <c r="L61" s="1"/>
      <c r="M61" s="1"/>
      <c r="N61" s="1"/>
    </row>
    <row r="62" spans="1:14" ht="16.05" customHeight="1" x14ac:dyDescent="0.3">
      <c r="A62" s="1"/>
      <c r="B62" s="1"/>
      <c r="J62" s="1"/>
      <c r="K62" s="1"/>
      <c r="L62" s="1"/>
      <c r="M62" s="1"/>
      <c r="N62" s="1"/>
    </row>
    <row r="63" spans="1:14" ht="16.05" customHeight="1" x14ac:dyDescent="0.3">
      <c r="A63" s="1"/>
      <c r="B63" s="1"/>
      <c r="J63" s="1"/>
      <c r="K63" s="1"/>
      <c r="L63" s="1"/>
      <c r="M63" s="1"/>
      <c r="N63" s="1"/>
    </row>
    <row r="64" spans="1:14" ht="16.05" customHeight="1" x14ac:dyDescent="0.35">
      <c r="A64" s="1"/>
      <c r="C64" s="503" t="s">
        <v>354</v>
      </c>
      <c r="D64" s="503"/>
      <c r="E64" s="503"/>
      <c r="F64" s="503"/>
      <c r="G64" s="503"/>
      <c r="H64" s="503"/>
      <c r="J64" s="1"/>
      <c r="K64" s="1"/>
      <c r="L64" s="1"/>
      <c r="M64" s="1"/>
      <c r="N64" s="1"/>
    </row>
    <row r="65" spans="1:14" ht="16.05" customHeight="1" x14ac:dyDescent="0.3">
      <c r="A65" s="1"/>
      <c r="C65" s="498" t="s">
        <v>119</v>
      </c>
      <c r="D65" s="498"/>
      <c r="E65" s="498"/>
      <c r="F65" s="498"/>
      <c r="G65" s="498"/>
      <c r="H65" s="498"/>
      <c r="J65" s="1"/>
      <c r="K65" s="1"/>
      <c r="L65" s="1"/>
      <c r="M65" s="1"/>
      <c r="N65" s="1"/>
    </row>
    <row r="66" spans="1:14" ht="16.05" customHeight="1" x14ac:dyDescent="0.3">
      <c r="A66" s="1"/>
      <c r="B66" s="372"/>
      <c r="C66" s="499" t="s">
        <v>123</v>
      </c>
      <c r="D66" s="501" t="s">
        <v>124</v>
      </c>
      <c r="E66" s="501" t="s">
        <v>125</v>
      </c>
      <c r="F66" s="501" t="s">
        <v>132</v>
      </c>
      <c r="G66" s="501" t="s">
        <v>130</v>
      </c>
      <c r="H66" s="501" t="s">
        <v>131</v>
      </c>
      <c r="J66" s="1"/>
      <c r="K66" s="1"/>
      <c r="L66" s="1"/>
      <c r="M66" s="1"/>
      <c r="N66" s="1"/>
    </row>
    <row r="67" spans="1:14" ht="16.05" customHeight="1" x14ac:dyDescent="0.3">
      <c r="C67" s="499"/>
      <c r="D67" s="501"/>
      <c r="E67" s="501"/>
      <c r="F67" s="501"/>
      <c r="G67" s="501"/>
      <c r="H67" s="501"/>
    </row>
    <row r="68" spans="1:14" ht="16.05" customHeight="1" x14ac:dyDescent="0.3">
      <c r="B68" s="80" t="s">
        <v>120</v>
      </c>
      <c r="C68" s="82">
        <v>0.04</v>
      </c>
      <c r="D68" s="370">
        <v>1</v>
      </c>
      <c r="E68" s="370">
        <v>1</v>
      </c>
      <c r="F68" s="370"/>
      <c r="G68" s="370">
        <f>'Carichi unitari'!$P$3</f>
        <v>25</v>
      </c>
      <c r="H68" s="370">
        <f>C68*G68</f>
        <v>1</v>
      </c>
    </row>
    <row r="69" spans="1:14" ht="16.05" customHeight="1" x14ac:dyDescent="0.3">
      <c r="B69" s="80" t="s">
        <v>121</v>
      </c>
      <c r="C69" s="82">
        <f>$L$4-C68</f>
        <v>0.19999999999999998</v>
      </c>
      <c r="D69" s="370">
        <v>0.08</v>
      </c>
      <c r="E69" s="370">
        <v>1</v>
      </c>
      <c r="F69" s="370">
        <v>3</v>
      </c>
      <c r="G69" s="370">
        <f>$G$6</f>
        <v>25</v>
      </c>
      <c r="H69" s="370">
        <f>G69*C69*D69*F69</f>
        <v>1.2000000000000002</v>
      </c>
    </row>
    <row r="70" spans="1:14" ht="16.05" customHeight="1" x14ac:dyDescent="0.3">
      <c r="B70" s="80" t="s">
        <v>122</v>
      </c>
      <c r="C70" s="82">
        <v>0.2</v>
      </c>
      <c r="D70" s="370">
        <v>0.33</v>
      </c>
      <c r="E70" s="370">
        <v>0.35</v>
      </c>
      <c r="F70" s="76">
        <v>3</v>
      </c>
      <c r="G70" s="81"/>
      <c r="H70" s="81">
        <f>8.5*9.81/(D70*E70)/1000</f>
        <v>0.72194805194805201</v>
      </c>
    </row>
    <row r="71" spans="1:14" ht="16.05" customHeight="1" x14ac:dyDescent="0.3">
      <c r="B71" s="80" t="s">
        <v>65</v>
      </c>
      <c r="C71" s="60"/>
      <c r="D71" s="60"/>
      <c r="E71" s="60"/>
      <c r="F71" s="1"/>
      <c r="G71" s="1"/>
      <c r="H71" s="89">
        <f>H68+H69+H70</f>
        <v>2.9219480519480521</v>
      </c>
    </row>
    <row r="72" spans="1:14" ht="16.05" customHeight="1" x14ac:dyDescent="0.3">
      <c r="B72" s="87"/>
      <c r="C72" s="498" t="s">
        <v>133</v>
      </c>
      <c r="D72" s="498"/>
      <c r="E72" s="498"/>
      <c r="F72" s="498"/>
      <c r="G72" s="498"/>
      <c r="H72" s="498"/>
    </row>
    <row r="73" spans="1:14" ht="16.05" customHeight="1" x14ac:dyDescent="0.3">
      <c r="B73" s="87"/>
      <c r="C73" s="499" t="s">
        <v>123</v>
      </c>
      <c r="D73" s="501" t="s">
        <v>124</v>
      </c>
      <c r="E73" s="501" t="s">
        <v>125</v>
      </c>
      <c r="F73" s="501"/>
      <c r="G73" s="501" t="s">
        <v>130</v>
      </c>
      <c r="H73" s="501" t="s">
        <v>131</v>
      </c>
    </row>
    <row r="74" spans="1:14" ht="16.05" customHeight="1" x14ac:dyDescent="0.3">
      <c r="B74" s="87"/>
      <c r="C74" s="500"/>
      <c r="D74" s="502"/>
      <c r="E74" s="502"/>
      <c r="F74" s="502"/>
      <c r="G74" s="502"/>
      <c r="H74" s="502"/>
    </row>
    <row r="75" spans="1:14" ht="16.05" customHeight="1" x14ac:dyDescent="0.3">
      <c r="B75" s="80" t="s">
        <v>135</v>
      </c>
      <c r="C75" s="92">
        <v>0.05</v>
      </c>
      <c r="D75" s="93">
        <v>1</v>
      </c>
      <c r="E75" s="93">
        <v>1</v>
      </c>
      <c r="F75" s="93"/>
      <c r="G75" s="292">
        <v>20</v>
      </c>
      <c r="H75" s="93">
        <f>C75*D75*E75*G75</f>
        <v>1</v>
      </c>
    </row>
    <row r="76" spans="1:14" ht="16.05" customHeight="1" x14ac:dyDescent="0.3">
      <c r="B76" s="80" t="s">
        <v>318</v>
      </c>
      <c r="C76" s="92">
        <v>0.02</v>
      </c>
      <c r="D76" s="93">
        <v>1</v>
      </c>
      <c r="E76" s="93">
        <v>1</v>
      </c>
      <c r="F76" s="93"/>
      <c r="G76" s="93">
        <f>22</f>
        <v>22</v>
      </c>
      <c r="H76" s="93">
        <f>C76*D76*E76*G76</f>
        <v>0.44</v>
      </c>
    </row>
    <row r="77" spans="1:14" ht="16.05" customHeight="1" x14ac:dyDescent="0.3">
      <c r="B77" s="80" t="s">
        <v>136</v>
      </c>
      <c r="C77" s="94">
        <v>0.02</v>
      </c>
      <c r="D77" s="93">
        <v>1</v>
      </c>
      <c r="E77" s="93">
        <v>1</v>
      </c>
      <c r="F77" s="93"/>
      <c r="G77" s="93">
        <v>20</v>
      </c>
      <c r="H77" s="93">
        <f>C77*D77*E77*G77</f>
        <v>0.4</v>
      </c>
    </row>
    <row r="78" spans="1:14" ht="16.05" customHeight="1" x14ac:dyDescent="0.3">
      <c r="B78" s="80" t="s">
        <v>355</v>
      </c>
      <c r="C78" s="94">
        <v>0.02</v>
      </c>
      <c r="D78" s="93">
        <v>1</v>
      </c>
      <c r="E78" s="93">
        <v>1</v>
      </c>
      <c r="F78" s="93"/>
      <c r="G78" s="93">
        <v>10</v>
      </c>
      <c r="H78" s="93">
        <f>C78*D78*E78*G78</f>
        <v>0.2</v>
      </c>
    </row>
    <row r="79" spans="1:14" ht="16.05" customHeight="1" x14ac:dyDescent="0.3">
      <c r="B79" s="80" t="s">
        <v>65</v>
      </c>
      <c r="C79" s="88"/>
      <c r="D79" s="369"/>
      <c r="E79" s="369"/>
      <c r="F79" s="369"/>
      <c r="G79" s="369"/>
      <c r="H79" s="290">
        <f>H75+H76+H77+H78</f>
        <v>2.04</v>
      </c>
    </row>
    <row r="80" spans="1:14" ht="16.05" customHeight="1" x14ac:dyDescent="0.3"/>
    <row r="81" ht="16.05" customHeight="1" x14ac:dyDescent="0.3"/>
    <row r="82" ht="16.05" customHeight="1" x14ac:dyDescent="0.3"/>
    <row r="83" ht="16.05" customHeight="1" x14ac:dyDescent="0.3"/>
    <row r="84" ht="16.05" customHeight="1" x14ac:dyDescent="0.3"/>
    <row r="85" ht="16.05" customHeight="1" x14ac:dyDescent="0.3"/>
    <row r="86" ht="16.05" customHeight="1" x14ac:dyDescent="0.3"/>
    <row r="87" ht="16.05" customHeight="1" x14ac:dyDescent="0.3"/>
    <row r="88" ht="16.05" customHeight="1" x14ac:dyDescent="0.3"/>
    <row r="89" ht="16.05" customHeight="1" x14ac:dyDescent="0.3"/>
    <row r="90" ht="16.05" customHeight="1" x14ac:dyDescent="0.3"/>
    <row r="91" ht="16.05" customHeight="1" x14ac:dyDescent="0.3"/>
    <row r="92" ht="16.05" customHeight="1" x14ac:dyDescent="0.3"/>
    <row r="93" ht="16.05" customHeight="1" x14ac:dyDescent="0.3"/>
    <row r="94" ht="16.05" customHeight="1" x14ac:dyDescent="0.3"/>
    <row r="95" ht="16.05" customHeight="1" x14ac:dyDescent="0.3"/>
    <row r="96" ht="16.05" customHeight="1" x14ac:dyDescent="0.3"/>
    <row r="97" ht="16.05" customHeight="1" x14ac:dyDescent="0.3"/>
    <row r="98" ht="16.05" customHeight="1" x14ac:dyDescent="0.3"/>
    <row r="99" ht="16.05" customHeight="1" x14ac:dyDescent="0.3"/>
    <row r="100" ht="16.05" customHeight="1" x14ac:dyDescent="0.3"/>
    <row r="101" ht="16.05" customHeight="1" x14ac:dyDescent="0.3"/>
    <row r="102" ht="16.05" customHeight="1" x14ac:dyDescent="0.3"/>
    <row r="103" ht="16.05" customHeight="1" x14ac:dyDescent="0.3"/>
    <row r="104" ht="16.05" customHeight="1" x14ac:dyDescent="0.3"/>
    <row r="105" ht="16.05" customHeight="1" x14ac:dyDescent="0.3"/>
    <row r="106" ht="16.05" customHeight="1" x14ac:dyDescent="0.3"/>
    <row r="107" ht="16.05" customHeight="1" x14ac:dyDescent="0.3"/>
    <row r="108" ht="16.05" customHeight="1" x14ac:dyDescent="0.3"/>
    <row r="109" ht="16.05" customHeight="1" x14ac:dyDescent="0.3"/>
    <row r="110" ht="16.05" customHeight="1" x14ac:dyDescent="0.3"/>
    <row r="111" ht="16.05" customHeight="1" x14ac:dyDescent="0.3"/>
    <row r="112" ht="16.05" customHeight="1" x14ac:dyDescent="0.3"/>
    <row r="113" ht="16.05" customHeight="1" x14ac:dyDescent="0.3"/>
    <row r="114" ht="16.05" customHeight="1" x14ac:dyDescent="0.3"/>
    <row r="115" ht="16.05" customHeight="1" x14ac:dyDescent="0.3"/>
    <row r="116" ht="16.05" customHeight="1" x14ac:dyDescent="0.3"/>
    <row r="117" ht="16.05" customHeight="1" x14ac:dyDescent="0.3"/>
    <row r="118" ht="16.05" customHeight="1" x14ac:dyDescent="0.3"/>
    <row r="119" ht="16.05" customHeight="1" x14ac:dyDescent="0.3"/>
    <row r="120" ht="16.05" customHeight="1" x14ac:dyDescent="0.3"/>
    <row r="121" ht="16.05" customHeight="1" x14ac:dyDescent="0.3"/>
    <row r="122" ht="16.05" customHeight="1" x14ac:dyDescent="0.3"/>
    <row r="123" ht="16.05" customHeight="1" x14ac:dyDescent="0.3"/>
    <row r="124" ht="16.05" customHeight="1" x14ac:dyDescent="0.3"/>
    <row r="125" ht="16.05" customHeight="1" x14ac:dyDescent="0.3"/>
    <row r="126" ht="16.05" customHeight="1" x14ac:dyDescent="0.3"/>
    <row r="127" ht="16.05" customHeight="1" x14ac:dyDescent="0.3"/>
    <row r="128" ht="16.05" customHeight="1" x14ac:dyDescent="0.3"/>
    <row r="129" ht="16.05" customHeight="1" x14ac:dyDescent="0.3"/>
    <row r="130" ht="16.05" customHeight="1" x14ac:dyDescent="0.3"/>
    <row r="131" ht="16.05" customHeight="1" x14ac:dyDescent="0.3"/>
    <row r="132" ht="16.05" customHeight="1" x14ac:dyDescent="0.3"/>
    <row r="133" ht="16.05" customHeight="1" x14ac:dyDescent="0.3"/>
    <row r="134" ht="16.05" customHeight="1" x14ac:dyDescent="0.3"/>
    <row r="135" ht="16.05" customHeight="1" x14ac:dyDescent="0.3"/>
    <row r="136" ht="16.05" customHeight="1" x14ac:dyDescent="0.3"/>
    <row r="137" ht="16.05" customHeight="1" x14ac:dyDescent="0.3"/>
    <row r="138" ht="16.05" customHeight="1" x14ac:dyDescent="0.3"/>
    <row r="139" ht="16.05" customHeight="1" x14ac:dyDescent="0.3"/>
    <row r="140" ht="16.05" customHeight="1" x14ac:dyDescent="0.3"/>
    <row r="141" ht="16.05" customHeight="1" x14ac:dyDescent="0.3"/>
    <row r="142" ht="16.05" customHeight="1" x14ac:dyDescent="0.3"/>
    <row r="143" ht="16.05" customHeight="1" x14ac:dyDescent="0.3"/>
    <row r="144" ht="16.05" customHeight="1" x14ac:dyDescent="0.3"/>
    <row r="145" ht="16.05" customHeight="1" x14ac:dyDescent="0.3"/>
    <row r="146" ht="16.05" customHeight="1" x14ac:dyDescent="0.3"/>
    <row r="147" ht="16.05" customHeight="1" x14ac:dyDescent="0.3"/>
    <row r="148" ht="16.05" customHeight="1" x14ac:dyDescent="0.3"/>
    <row r="149" ht="16.05" customHeight="1" x14ac:dyDescent="0.3"/>
    <row r="150" ht="16.05" customHeight="1" x14ac:dyDescent="0.3"/>
    <row r="151" ht="16.05" customHeight="1" x14ac:dyDescent="0.3"/>
    <row r="152" ht="16.05" customHeight="1" x14ac:dyDescent="0.3"/>
    <row r="153" ht="16.05" customHeight="1" x14ac:dyDescent="0.3"/>
    <row r="154" ht="16.05" customHeight="1" x14ac:dyDescent="0.3"/>
    <row r="155" ht="16.05" customHeight="1" x14ac:dyDescent="0.3"/>
    <row r="156" ht="16.05" customHeight="1" x14ac:dyDescent="0.3"/>
    <row r="157" ht="16.05" customHeight="1" x14ac:dyDescent="0.3"/>
    <row r="158" ht="16.05" customHeight="1" x14ac:dyDescent="0.3"/>
    <row r="159" ht="16.05" customHeight="1" x14ac:dyDescent="0.3"/>
    <row r="160" ht="16.05" customHeight="1" x14ac:dyDescent="0.3"/>
    <row r="161" ht="16.05" customHeight="1" x14ac:dyDescent="0.3"/>
    <row r="162" ht="16.05" customHeight="1" x14ac:dyDescent="0.3"/>
    <row r="163" ht="16.05" customHeight="1" x14ac:dyDescent="0.3"/>
    <row r="164" ht="16.05" customHeight="1" x14ac:dyDescent="0.3"/>
    <row r="165" ht="16.05" customHeight="1" x14ac:dyDescent="0.3"/>
    <row r="166" ht="16.05" customHeight="1" x14ac:dyDescent="0.3"/>
    <row r="167" ht="16.05" customHeight="1" x14ac:dyDescent="0.3"/>
    <row r="168" ht="16.05" customHeight="1" x14ac:dyDescent="0.3"/>
    <row r="169" ht="16.05" customHeight="1" x14ac:dyDescent="0.3"/>
    <row r="170" ht="16.05" customHeight="1" x14ac:dyDescent="0.3"/>
    <row r="171" ht="16.05" customHeight="1" x14ac:dyDescent="0.3"/>
    <row r="172" ht="16.05" customHeight="1" x14ac:dyDescent="0.3"/>
    <row r="173" ht="16.05" customHeight="1" x14ac:dyDescent="0.3"/>
    <row r="174" ht="16.05" customHeight="1" x14ac:dyDescent="0.3"/>
    <row r="175" ht="16.05" customHeight="1" x14ac:dyDescent="0.3"/>
  </sheetData>
  <mergeCells count="101">
    <mergeCell ref="S11:S12"/>
    <mergeCell ref="C55:H55"/>
    <mergeCell ref="C56:C57"/>
    <mergeCell ref="D56:D57"/>
    <mergeCell ref="E56:E57"/>
    <mergeCell ref="F56:F57"/>
    <mergeCell ref="G56:G57"/>
    <mergeCell ref="H56:H57"/>
    <mergeCell ref="O2:S2"/>
    <mergeCell ref="O3:O4"/>
    <mergeCell ref="P3:P4"/>
    <mergeCell ref="Q3:Q4"/>
    <mergeCell ref="R3:R4"/>
    <mergeCell ref="S3:S4"/>
    <mergeCell ref="O6:S6"/>
    <mergeCell ref="O7:O8"/>
    <mergeCell ref="P7:P8"/>
    <mergeCell ref="Q7:Q8"/>
    <mergeCell ref="R7:R8"/>
    <mergeCell ref="S7:S8"/>
    <mergeCell ref="O10:S10"/>
    <mergeCell ref="O11:O12"/>
    <mergeCell ref="P11:P12"/>
    <mergeCell ref="Q11:Q12"/>
    <mergeCell ref="R11:R12"/>
    <mergeCell ref="C45:H45"/>
    <mergeCell ref="C46:H46"/>
    <mergeCell ref="C47:C48"/>
    <mergeCell ref="D47:D48"/>
    <mergeCell ref="E47:E48"/>
    <mergeCell ref="F47:F48"/>
    <mergeCell ref="G47:G48"/>
    <mergeCell ref="H47:H48"/>
    <mergeCell ref="F27:F28"/>
    <mergeCell ref="G27:G28"/>
    <mergeCell ref="H27:H28"/>
    <mergeCell ref="C18:H18"/>
    <mergeCell ref="C19:H19"/>
    <mergeCell ref="C20:C21"/>
    <mergeCell ref="D20:D21"/>
    <mergeCell ref="E20:E21"/>
    <mergeCell ref="F20:F21"/>
    <mergeCell ref="G20:G21"/>
    <mergeCell ref="H20:H21"/>
    <mergeCell ref="C54:H54"/>
    <mergeCell ref="J4:K4"/>
    <mergeCell ref="L4:M4"/>
    <mergeCell ref="G4:G5"/>
    <mergeCell ref="H4:H5"/>
    <mergeCell ref="H11:H12"/>
    <mergeCell ref="C34:H34"/>
    <mergeCell ref="C35:H35"/>
    <mergeCell ref="C36:C37"/>
    <mergeCell ref="D36:D37"/>
    <mergeCell ref="E36:E37"/>
    <mergeCell ref="F36:F37"/>
    <mergeCell ref="G36:G37"/>
    <mergeCell ref="H36:H37"/>
    <mergeCell ref="C11:C12"/>
    <mergeCell ref="D11:D12"/>
    <mergeCell ref="E11:E12"/>
    <mergeCell ref="F11:F12"/>
    <mergeCell ref="G11:G12"/>
    <mergeCell ref="F4:F5"/>
    <mergeCell ref="C26:H26"/>
    <mergeCell ref="C27:C28"/>
    <mergeCell ref="D27:D28"/>
    <mergeCell ref="E27:E28"/>
    <mergeCell ref="C2:H2"/>
    <mergeCell ref="C3:H3"/>
    <mergeCell ref="C10:H10"/>
    <mergeCell ref="C4:C5"/>
    <mergeCell ref="D4:D5"/>
    <mergeCell ref="E4:E5"/>
    <mergeCell ref="T6:X6"/>
    <mergeCell ref="T7:T8"/>
    <mergeCell ref="U7:U8"/>
    <mergeCell ref="V7:V8"/>
    <mergeCell ref="W7:W8"/>
    <mergeCell ref="X7:X8"/>
    <mergeCell ref="T2:X2"/>
    <mergeCell ref="T3:T4"/>
    <mergeCell ref="U3:U4"/>
    <mergeCell ref="V3:V4"/>
    <mergeCell ref="W3:W4"/>
    <mergeCell ref="X3:X4"/>
    <mergeCell ref="C72:H72"/>
    <mergeCell ref="C73:C74"/>
    <mergeCell ref="D73:D74"/>
    <mergeCell ref="E73:E74"/>
    <mergeCell ref="F73:F74"/>
    <mergeCell ref="G73:G74"/>
    <mergeCell ref="H73:H74"/>
    <mergeCell ref="C64:H64"/>
    <mergeCell ref="C65:H65"/>
    <mergeCell ref="C66:C67"/>
    <mergeCell ref="D66:D67"/>
    <mergeCell ref="E66:E67"/>
    <mergeCell ref="F66:F67"/>
    <mergeCell ref="G66:G67"/>
    <mergeCell ref="H66:H67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opLeftCell="B49" workbookViewId="0">
      <selection activeCell="Q16" sqref="Q16"/>
    </sheetView>
  </sheetViews>
  <sheetFormatPr defaultRowHeight="14.4" x14ac:dyDescent="0.3"/>
  <cols>
    <col min="1" max="1" width="6.33203125" customWidth="1"/>
    <col min="2" max="8" width="10.77734375" customWidth="1"/>
    <col min="9" max="9" width="12.109375" customWidth="1"/>
    <col min="10" max="11" width="10.77734375" customWidth="1"/>
    <col min="12" max="12" width="12.109375" customWidth="1"/>
    <col min="13" max="14" width="12.5546875" customWidth="1"/>
    <col min="15" max="21" width="10.77734375" customWidth="1"/>
  </cols>
  <sheetData>
    <row r="1" spans="1:19" ht="18" customHeigh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19" ht="18" customHeight="1" x14ac:dyDescent="0.3">
      <c r="A2" s="1"/>
      <c r="B2" s="1"/>
      <c r="C2" s="77"/>
      <c r="D2" s="77" t="s">
        <v>104</v>
      </c>
      <c r="E2" s="77"/>
      <c r="F2" s="77"/>
      <c r="G2" s="77"/>
      <c r="H2" s="77"/>
      <c r="I2" s="1"/>
      <c r="O2" s="699" t="s">
        <v>156</v>
      </c>
      <c r="P2" s="669" t="s">
        <v>148</v>
      </c>
      <c r="Q2" s="669"/>
      <c r="R2" s="669" t="s">
        <v>145</v>
      </c>
      <c r="S2" s="669"/>
    </row>
    <row r="3" spans="1:19" ht="18" customHeight="1" x14ac:dyDescent="0.3">
      <c r="A3" s="1"/>
      <c r="B3" s="1"/>
      <c r="C3" s="1"/>
      <c r="D3" s="1"/>
      <c r="E3" s="1"/>
      <c r="F3" s="1"/>
      <c r="G3" s="1"/>
      <c r="H3" s="1"/>
      <c r="I3" s="1"/>
      <c r="O3" s="699"/>
      <c r="P3" s="669"/>
      <c r="Q3" s="669"/>
      <c r="R3" s="669"/>
      <c r="S3" s="669"/>
    </row>
    <row r="4" spans="1:19" ht="18" customHeight="1" x14ac:dyDescent="0.3">
      <c r="A4" s="1"/>
      <c r="B4" s="1"/>
      <c r="C4" s="512" t="s">
        <v>105</v>
      </c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139"/>
      <c r="O4" s="141">
        <v>6</v>
      </c>
      <c r="P4" s="137">
        <f>'Car. sol'!G38</f>
        <v>30</v>
      </c>
      <c r="Q4" s="137">
        <f>'Car. sol'!I28</f>
        <v>50</v>
      </c>
      <c r="R4" s="105">
        <f>'Car. sol'!G38</f>
        <v>30</v>
      </c>
      <c r="S4" s="137">
        <f>'Car. sol'!H38</f>
        <v>60</v>
      </c>
    </row>
    <row r="5" spans="1:19" ht="18" customHeight="1" x14ac:dyDescent="0.3">
      <c r="A5" s="1"/>
      <c r="C5" s="616" t="s">
        <v>154</v>
      </c>
      <c r="D5" s="694"/>
      <c r="E5" s="695"/>
      <c r="F5" s="696" t="s">
        <v>112</v>
      </c>
      <c r="G5" s="697"/>
      <c r="H5" s="697"/>
      <c r="I5" s="698"/>
      <c r="J5" s="512" t="s">
        <v>162</v>
      </c>
      <c r="K5" s="512"/>
      <c r="L5" s="512"/>
      <c r="M5" s="512"/>
      <c r="N5" s="139"/>
      <c r="O5" s="140">
        <v>5</v>
      </c>
      <c r="P5" s="137">
        <f>'Car. sol'!G39</f>
        <v>30</v>
      </c>
      <c r="Q5" s="137">
        <f>'Car. sol'!I29</f>
        <v>50</v>
      </c>
      <c r="R5" s="105">
        <f>'Car. sol'!G39</f>
        <v>30</v>
      </c>
      <c r="S5" s="137">
        <f>'Car. sol'!H39</f>
        <v>60</v>
      </c>
    </row>
    <row r="6" spans="1:19" ht="18" customHeight="1" x14ac:dyDescent="0.3">
      <c r="A6" s="1"/>
      <c r="B6" s="1"/>
      <c r="C6" s="129" t="s">
        <v>109</v>
      </c>
      <c r="D6" s="129" t="s">
        <v>110</v>
      </c>
      <c r="E6" s="129" t="s">
        <v>153</v>
      </c>
      <c r="F6" s="129" t="s">
        <v>111</v>
      </c>
      <c r="G6" s="129" t="s">
        <v>113</v>
      </c>
      <c r="H6" s="138" t="s">
        <v>150</v>
      </c>
      <c r="I6" s="80" t="s">
        <v>152</v>
      </c>
      <c r="J6" s="129" t="s">
        <v>111</v>
      </c>
      <c r="K6" s="129" t="s">
        <v>113</v>
      </c>
      <c r="L6" s="138" t="s">
        <v>150</v>
      </c>
      <c r="M6" s="80" t="s">
        <v>152</v>
      </c>
      <c r="N6" s="87"/>
      <c r="O6" s="140">
        <v>4</v>
      </c>
      <c r="P6" s="137">
        <f>'Car. sol'!G40</f>
        <v>30</v>
      </c>
      <c r="Q6" s="137">
        <f>'Car. sol'!I30</f>
        <v>60</v>
      </c>
      <c r="R6" s="105">
        <f>'Car. sol'!G40</f>
        <v>30</v>
      </c>
      <c r="S6" s="137">
        <f>'Car. sol'!H40</f>
        <v>70</v>
      </c>
    </row>
    <row r="7" spans="1:19" ht="18" customHeight="1" x14ac:dyDescent="0.3">
      <c r="A7" s="1"/>
      <c r="B7" s="80" t="s">
        <v>106</v>
      </c>
      <c r="C7" s="131">
        <f>R4</f>
        <v>30</v>
      </c>
      <c r="D7" s="131">
        <f>S4</f>
        <v>60</v>
      </c>
      <c r="E7" s="131">
        <f>C7*D7^3/12</f>
        <v>540000</v>
      </c>
      <c r="F7" s="137">
        <v>12.1</v>
      </c>
      <c r="G7" s="130">
        <f>'Carichi unitari'!$M$4</f>
        <v>3.2</v>
      </c>
      <c r="H7" s="131">
        <f>E7*F7</f>
        <v>6534000</v>
      </c>
      <c r="I7" s="145">
        <f>(12*'Carichi unitari'!$P$4*H7/(G7^3))/100000000*(1/(1+0.5*(H7/G7*G8/H8+H7/G7*G9/H9)))</f>
        <v>239.51902995719689</v>
      </c>
      <c r="J7" s="137">
        <v>11.4</v>
      </c>
      <c r="K7" s="130">
        <f>'Carichi unitari'!$M$4</f>
        <v>3.2</v>
      </c>
      <c r="L7" s="131">
        <f>E7*J7</f>
        <v>6156000</v>
      </c>
      <c r="M7" s="145">
        <f>(12*'Carichi unitari'!$P$4*L7/(K7^3))/100000000*(1/(1+0.5*(L7/K7*K8/L8+L7/K7*K9/L9)))</f>
        <v>246.31681564303153</v>
      </c>
      <c r="N7" s="62"/>
      <c r="O7" s="140">
        <v>3</v>
      </c>
      <c r="P7" s="137">
        <f>'Car. sol'!G41</f>
        <v>30</v>
      </c>
      <c r="Q7" s="137">
        <f>'Car. sol'!I31</f>
        <v>70</v>
      </c>
      <c r="R7" s="105">
        <f>'Car. sol'!G41</f>
        <v>30</v>
      </c>
      <c r="S7" s="137">
        <f>'Car. sol'!H41</f>
        <v>70</v>
      </c>
    </row>
    <row r="8" spans="1:19" ht="18" customHeight="1" x14ac:dyDescent="0.3">
      <c r="A8" s="1"/>
      <c r="B8" s="80" t="s">
        <v>107</v>
      </c>
      <c r="C8" s="131">
        <f>P4</f>
        <v>30</v>
      </c>
      <c r="D8" s="131">
        <f>Q4</f>
        <v>50</v>
      </c>
      <c r="E8" s="131">
        <f>C8*D8^3/12</f>
        <v>312500</v>
      </c>
      <c r="F8" s="137">
        <v>14</v>
      </c>
      <c r="G8" s="99">
        <v>4.5999999999999996</v>
      </c>
      <c r="H8" s="131">
        <f>E8*F8</f>
        <v>4375000</v>
      </c>
      <c r="I8" s="131"/>
      <c r="J8" s="137">
        <v>17</v>
      </c>
      <c r="K8" s="99">
        <v>5.2</v>
      </c>
      <c r="L8" s="131">
        <f>E8*J8</f>
        <v>5312500</v>
      </c>
      <c r="M8" s="131"/>
      <c r="N8" s="63"/>
      <c r="O8" s="140">
        <v>2</v>
      </c>
      <c r="P8" s="137">
        <f>'Car. sol'!G42</f>
        <v>30</v>
      </c>
      <c r="Q8" s="137">
        <f>'Car. sol'!I32</f>
        <v>70</v>
      </c>
      <c r="R8" s="105">
        <f>'Car. sol'!G42</f>
        <v>30</v>
      </c>
      <c r="S8" s="137">
        <f>'Car. sol'!H42</f>
        <v>80</v>
      </c>
    </row>
    <row r="9" spans="1:19" ht="18" customHeight="1" x14ac:dyDescent="0.3">
      <c r="A9" s="1"/>
      <c r="B9" s="80" t="s">
        <v>108</v>
      </c>
      <c r="C9" s="131">
        <f>P5</f>
        <v>30</v>
      </c>
      <c r="D9" s="131">
        <f>Q5</f>
        <v>50</v>
      </c>
      <c r="E9" s="131">
        <f>C9*D9^3/12</f>
        <v>312500</v>
      </c>
      <c r="F9" s="137">
        <v>14</v>
      </c>
      <c r="G9" s="99">
        <v>4.5999999999999996</v>
      </c>
      <c r="H9" s="131">
        <f>E9*F9</f>
        <v>4375000</v>
      </c>
      <c r="I9" s="131"/>
      <c r="J9" s="137">
        <v>17</v>
      </c>
      <c r="K9" s="99">
        <v>5.2</v>
      </c>
      <c r="L9" s="131">
        <f>E9*J9</f>
        <v>5312500</v>
      </c>
      <c r="M9" s="131"/>
      <c r="N9" s="63"/>
      <c r="O9" s="140">
        <v>1</v>
      </c>
      <c r="P9" s="137">
        <f>'Car. sol'!G43</f>
        <v>30</v>
      </c>
      <c r="Q9" s="137">
        <f>'Car. sol'!I33</f>
        <v>70</v>
      </c>
      <c r="R9" s="105">
        <f>'Car. sol'!G43</f>
        <v>30</v>
      </c>
      <c r="S9" s="137">
        <f>'Car. sol'!H43</f>
        <v>80</v>
      </c>
    </row>
    <row r="10" spans="1:19" ht="18" customHeight="1" x14ac:dyDescent="0.3">
      <c r="A10" s="1"/>
      <c r="B10" s="1"/>
      <c r="C10" s="60"/>
      <c r="D10" s="60"/>
      <c r="E10" s="60"/>
      <c r="F10" s="60"/>
      <c r="G10" s="60"/>
      <c r="H10" s="60"/>
      <c r="I10" s="60"/>
      <c r="P10" s="1"/>
      <c r="Q10" s="1"/>
    </row>
    <row r="11" spans="1:19" ht="18" customHeight="1" x14ac:dyDescent="0.3">
      <c r="A11" s="1"/>
      <c r="B11" s="1"/>
      <c r="C11" s="512" t="s">
        <v>155</v>
      </c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139"/>
      <c r="P11" s="1"/>
      <c r="Q11" s="1"/>
    </row>
    <row r="12" spans="1:19" ht="18" customHeight="1" x14ac:dyDescent="0.3">
      <c r="A12" s="1"/>
      <c r="C12" s="616" t="s">
        <v>154</v>
      </c>
      <c r="D12" s="694"/>
      <c r="E12" s="695"/>
      <c r="F12" s="696" t="s">
        <v>112</v>
      </c>
      <c r="G12" s="697"/>
      <c r="H12" s="697"/>
      <c r="I12" s="698"/>
      <c r="J12" s="512" t="s">
        <v>162</v>
      </c>
      <c r="K12" s="512"/>
      <c r="L12" s="512"/>
      <c r="M12" s="512"/>
      <c r="N12" s="139"/>
    </row>
    <row r="13" spans="1:19" ht="18" customHeight="1" x14ac:dyDescent="0.3">
      <c r="A13" s="1"/>
      <c r="B13" s="1"/>
      <c r="C13" s="129" t="s">
        <v>109</v>
      </c>
      <c r="D13" s="129" t="s">
        <v>110</v>
      </c>
      <c r="E13" s="129" t="s">
        <v>153</v>
      </c>
      <c r="F13" s="129" t="s">
        <v>111</v>
      </c>
      <c r="G13" s="129" t="s">
        <v>113</v>
      </c>
      <c r="H13" s="138" t="s">
        <v>150</v>
      </c>
      <c r="I13" s="80" t="s">
        <v>152</v>
      </c>
      <c r="J13" s="129" t="s">
        <v>111</v>
      </c>
      <c r="K13" s="129" t="s">
        <v>113</v>
      </c>
      <c r="L13" s="138" t="s">
        <v>150</v>
      </c>
      <c r="M13" s="80" t="s">
        <v>152</v>
      </c>
      <c r="N13" s="87"/>
    </row>
    <row r="14" spans="1:19" ht="18" customHeight="1" x14ac:dyDescent="0.3">
      <c r="A14" s="1"/>
      <c r="B14" s="80" t="s">
        <v>106</v>
      </c>
      <c r="C14" s="131">
        <f>R5</f>
        <v>30</v>
      </c>
      <c r="D14" s="131">
        <f>S5</f>
        <v>60</v>
      </c>
      <c r="E14" s="131">
        <f>C14*D14^3/12</f>
        <v>540000</v>
      </c>
      <c r="F14" s="137">
        <v>12.1</v>
      </c>
      <c r="G14" s="130">
        <f>'Carichi unitari'!$M$4</f>
        <v>3.2</v>
      </c>
      <c r="H14" s="131">
        <f>E14*F14</f>
        <v>6534000</v>
      </c>
      <c r="I14" s="145">
        <f>(12*'Carichi unitari'!$P$4*H14/(G14^3))/100000000*(1/(1+0.5*(H14/G14*G15/H15+H14/G14*G16/H16)))</f>
        <v>279.71703678273002</v>
      </c>
      <c r="J14" s="137">
        <v>11.4</v>
      </c>
      <c r="K14" s="130">
        <f>'Carichi unitari'!$M$4</f>
        <v>3.2</v>
      </c>
      <c r="L14" s="131">
        <f>E14*J14</f>
        <v>6156000</v>
      </c>
      <c r="M14" s="145">
        <f>(12*'Carichi unitari'!$P$4*L14/(K14^3))/100000000*(1/(1+0.5*(L14/K14*K15/L15+L14/K14*K16/L16)))</f>
        <v>285.61214520746728</v>
      </c>
      <c r="N14" s="62"/>
    </row>
    <row r="15" spans="1:19" ht="18" customHeight="1" x14ac:dyDescent="0.3">
      <c r="A15" s="1"/>
      <c r="B15" s="80" t="s">
        <v>107</v>
      </c>
      <c r="C15" s="131">
        <f>P5</f>
        <v>30</v>
      </c>
      <c r="D15" s="131">
        <f>Q5</f>
        <v>50</v>
      </c>
      <c r="E15" s="131">
        <f>C15*D15^3/12</f>
        <v>312500</v>
      </c>
      <c r="F15" s="137">
        <v>14</v>
      </c>
      <c r="G15" s="99">
        <v>4.5999999999999996</v>
      </c>
      <c r="H15" s="131">
        <f>E15*F15</f>
        <v>4375000</v>
      </c>
      <c r="I15" s="131"/>
      <c r="J15" s="137">
        <v>17</v>
      </c>
      <c r="K15" s="99">
        <v>5.2</v>
      </c>
      <c r="L15" s="131">
        <f>E15*J15</f>
        <v>5312500</v>
      </c>
      <c r="M15" s="131"/>
      <c r="N15" s="63"/>
    </row>
    <row r="16" spans="1:19" ht="18" customHeight="1" x14ac:dyDescent="0.3">
      <c r="A16" s="1"/>
      <c r="B16" s="80" t="s">
        <v>108</v>
      </c>
      <c r="C16" s="131">
        <f>P6</f>
        <v>30</v>
      </c>
      <c r="D16" s="136">
        <f>Q6</f>
        <v>60</v>
      </c>
      <c r="E16" s="131">
        <f>C16*D16^3/12</f>
        <v>540000</v>
      </c>
      <c r="F16" s="137">
        <v>14</v>
      </c>
      <c r="G16" s="99">
        <v>4.5999999999999996</v>
      </c>
      <c r="H16" s="131">
        <f>E16*F16</f>
        <v>7560000</v>
      </c>
      <c r="I16" s="131"/>
      <c r="J16" s="137">
        <v>17</v>
      </c>
      <c r="K16" s="99">
        <v>5.2</v>
      </c>
      <c r="L16" s="131">
        <f>E16*J16</f>
        <v>9180000</v>
      </c>
      <c r="M16" s="131"/>
      <c r="N16" s="63"/>
    </row>
    <row r="17" spans="1:13" ht="18" customHeight="1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13" ht="18" customHeight="1" x14ac:dyDescent="0.3">
      <c r="A18" s="1"/>
      <c r="B18" s="1"/>
      <c r="C18" s="512" t="s">
        <v>158</v>
      </c>
      <c r="D18" s="512"/>
      <c r="E18" s="512"/>
      <c r="F18" s="512"/>
      <c r="G18" s="512"/>
      <c r="H18" s="512"/>
      <c r="I18" s="512"/>
      <c r="J18" s="512"/>
      <c r="K18" s="512"/>
      <c r="L18" s="512"/>
      <c r="M18" s="512"/>
    </row>
    <row r="19" spans="1:13" ht="18" customHeight="1" x14ac:dyDescent="0.3">
      <c r="A19" s="1"/>
      <c r="C19" s="616" t="s">
        <v>154</v>
      </c>
      <c r="D19" s="694"/>
      <c r="E19" s="695"/>
      <c r="F19" s="696" t="s">
        <v>112</v>
      </c>
      <c r="G19" s="697"/>
      <c r="H19" s="697"/>
      <c r="I19" s="698"/>
      <c r="J19" s="512" t="s">
        <v>162</v>
      </c>
      <c r="K19" s="512"/>
      <c r="L19" s="512"/>
      <c r="M19" s="512"/>
    </row>
    <row r="20" spans="1:13" ht="18" customHeight="1" x14ac:dyDescent="0.3">
      <c r="A20" s="1"/>
      <c r="B20" s="1"/>
      <c r="C20" s="134" t="s">
        <v>109</v>
      </c>
      <c r="D20" s="134" t="s">
        <v>110</v>
      </c>
      <c r="E20" s="134" t="s">
        <v>153</v>
      </c>
      <c r="F20" s="134" t="s">
        <v>111</v>
      </c>
      <c r="G20" s="134" t="s">
        <v>113</v>
      </c>
      <c r="H20" s="138" t="s">
        <v>150</v>
      </c>
      <c r="I20" s="80" t="s">
        <v>152</v>
      </c>
      <c r="J20" s="134" t="s">
        <v>111</v>
      </c>
      <c r="K20" s="134" t="s">
        <v>113</v>
      </c>
      <c r="L20" s="138" t="s">
        <v>150</v>
      </c>
      <c r="M20" s="80" t="s">
        <v>152</v>
      </c>
    </row>
    <row r="21" spans="1:13" ht="18" customHeight="1" x14ac:dyDescent="0.3">
      <c r="A21" s="1"/>
      <c r="B21" s="80" t="s">
        <v>106</v>
      </c>
      <c r="C21" s="136">
        <f>R6</f>
        <v>30</v>
      </c>
      <c r="D21" s="136">
        <f>S6</f>
        <v>70</v>
      </c>
      <c r="E21" s="136">
        <f>C21*D21^3/12</f>
        <v>857500</v>
      </c>
      <c r="F21" s="137">
        <v>12.1</v>
      </c>
      <c r="G21" s="135">
        <f>'Carichi unitari'!$M$4</f>
        <v>3.2</v>
      </c>
      <c r="H21" s="136">
        <f>E21*F21</f>
        <v>10375750</v>
      </c>
      <c r="I21" s="145">
        <f>(12*'Carichi unitari'!$P$4*H21/(G21^3))/100000000*(1/(1+0.5*(H21/G21*G22/H22+H21/G21*G23/H23)))</f>
        <v>458.99820675576808</v>
      </c>
      <c r="J21" s="137">
        <v>11.4</v>
      </c>
      <c r="K21" s="135">
        <f>'Carichi unitari'!$M$4</f>
        <v>3.2</v>
      </c>
      <c r="L21" s="136">
        <f>E21*J21</f>
        <v>9775500</v>
      </c>
      <c r="M21" s="145">
        <f>(12*'Carichi unitari'!$P$4*L21/(K21^3))/100000000*(1/(1+0.5*(L21/K21*K22/L22+L21/K21*K23/L23)))</f>
        <v>467.900089826552</v>
      </c>
    </row>
    <row r="22" spans="1:13" ht="18" customHeight="1" x14ac:dyDescent="0.3">
      <c r="A22" s="1"/>
      <c r="B22" s="80" t="s">
        <v>107</v>
      </c>
      <c r="C22" s="136">
        <f>P6</f>
        <v>30</v>
      </c>
      <c r="D22" s="136">
        <f>Q6</f>
        <v>60</v>
      </c>
      <c r="E22" s="136">
        <f>C22*D22^3/12</f>
        <v>540000</v>
      </c>
      <c r="F22" s="137">
        <v>14</v>
      </c>
      <c r="G22" s="99">
        <v>4.5999999999999996</v>
      </c>
      <c r="H22" s="136">
        <f>E22*F22</f>
        <v>7560000</v>
      </c>
      <c r="I22" s="136"/>
      <c r="J22" s="137">
        <v>17</v>
      </c>
      <c r="K22" s="99">
        <v>5.2</v>
      </c>
      <c r="L22" s="136">
        <f>E22*J22</f>
        <v>9180000</v>
      </c>
      <c r="M22" s="136"/>
    </row>
    <row r="23" spans="1:13" ht="18" customHeight="1" x14ac:dyDescent="0.3">
      <c r="A23" s="1"/>
      <c r="B23" s="80" t="s">
        <v>108</v>
      </c>
      <c r="C23" s="136">
        <f>P7</f>
        <v>30</v>
      </c>
      <c r="D23" s="136">
        <f>Q7</f>
        <v>70</v>
      </c>
      <c r="E23" s="136">
        <f>C23*D23^3/12</f>
        <v>857500</v>
      </c>
      <c r="F23" s="137">
        <v>14</v>
      </c>
      <c r="G23" s="99">
        <v>4.5999999999999996</v>
      </c>
      <c r="H23" s="136">
        <f>E23*F23</f>
        <v>12005000</v>
      </c>
      <c r="I23" s="136"/>
      <c r="J23" s="137">
        <v>17</v>
      </c>
      <c r="K23" s="99">
        <v>5.2</v>
      </c>
      <c r="L23" s="136">
        <f>E23*J23</f>
        <v>14577500</v>
      </c>
      <c r="M23" s="136"/>
    </row>
    <row r="24" spans="1:13" ht="18" customHeigh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3" ht="18" customHeight="1" x14ac:dyDescent="0.3">
      <c r="A25" s="1"/>
      <c r="B25" s="1"/>
      <c r="C25" s="512" t="s">
        <v>159</v>
      </c>
      <c r="D25" s="512"/>
      <c r="E25" s="512"/>
      <c r="F25" s="512"/>
      <c r="G25" s="512"/>
      <c r="H25" s="512"/>
      <c r="I25" s="512"/>
      <c r="J25" s="512"/>
      <c r="K25" s="512"/>
      <c r="L25" s="512"/>
      <c r="M25" s="512"/>
    </row>
    <row r="26" spans="1:13" ht="18" customHeight="1" x14ac:dyDescent="0.3">
      <c r="C26" s="616" t="s">
        <v>154</v>
      </c>
      <c r="D26" s="694"/>
      <c r="E26" s="695"/>
      <c r="F26" s="696" t="s">
        <v>112</v>
      </c>
      <c r="G26" s="697"/>
      <c r="H26" s="697"/>
      <c r="I26" s="698"/>
      <c r="J26" s="512" t="s">
        <v>162</v>
      </c>
      <c r="K26" s="512"/>
      <c r="L26" s="512"/>
      <c r="M26" s="512"/>
    </row>
    <row r="27" spans="1:13" ht="18" customHeight="1" x14ac:dyDescent="0.3">
      <c r="B27" s="1"/>
      <c r="C27" s="134" t="s">
        <v>109</v>
      </c>
      <c r="D27" s="134" t="s">
        <v>110</v>
      </c>
      <c r="E27" s="134" t="s">
        <v>153</v>
      </c>
      <c r="F27" s="134" t="s">
        <v>111</v>
      </c>
      <c r="G27" s="134" t="s">
        <v>113</v>
      </c>
      <c r="H27" s="138" t="s">
        <v>150</v>
      </c>
      <c r="I27" s="80" t="s">
        <v>152</v>
      </c>
      <c r="J27" s="134" t="s">
        <v>111</v>
      </c>
      <c r="K27" s="134" t="s">
        <v>113</v>
      </c>
      <c r="L27" s="138" t="s">
        <v>150</v>
      </c>
      <c r="M27" s="80" t="s">
        <v>152</v>
      </c>
    </row>
    <row r="28" spans="1:13" ht="18" customHeight="1" x14ac:dyDescent="0.3">
      <c r="B28" s="80" t="s">
        <v>106</v>
      </c>
      <c r="C28" s="136">
        <f>R7</f>
        <v>30</v>
      </c>
      <c r="D28" s="136">
        <f>S7</f>
        <v>70</v>
      </c>
      <c r="E28" s="136">
        <f>C28*D28^3/12</f>
        <v>857500</v>
      </c>
      <c r="F28" s="137">
        <v>12.1</v>
      </c>
      <c r="G28" s="135">
        <f>'Carichi unitari'!$M$4</f>
        <v>3.2</v>
      </c>
      <c r="H28" s="136">
        <f>E28*F28</f>
        <v>10375750</v>
      </c>
      <c r="I28" s="145">
        <f>(12*'Carichi unitari'!$P$4*H28/(G28^3))/100000000*(1/(1+0.5*(H28/G28*G29/H29+H28/G28*G30/H30)))</f>
        <v>533.7602205635327</v>
      </c>
      <c r="J28" s="137">
        <v>11.4</v>
      </c>
      <c r="K28" s="135">
        <f>'Carichi unitari'!$M$4</f>
        <v>3.2</v>
      </c>
      <c r="L28" s="136">
        <f>E28*J28</f>
        <v>9775500</v>
      </c>
      <c r="M28" s="145">
        <f>(12*'Carichi unitari'!$P$4*L28/(K28^3))/100000000*(1/(1+0.5*(L28/K28*K29/L29+L28/K28*K30/L30)))</f>
        <v>539.62949555495675</v>
      </c>
    </row>
    <row r="29" spans="1:13" ht="18" customHeight="1" x14ac:dyDescent="0.3">
      <c r="B29" s="80" t="s">
        <v>107</v>
      </c>
      <c r="C29" s="136">
        <f>P7</f>
        <v>30</v>
      </c>
      <c r="D29" s="136">
        <f>Q7</f>
        <v>70</v>
      </c>
      <c r="E29" s="136">
        <f>C29*D29^3/12</f>
        <v>857500</v>
      </c>
      <c r="F29" s="137">
        <v>14</v>
      </c>
      <c r="G29" s="99">
        <v>4.5999999999999996</v>
      </c>
      <c r="H29" s="136">
        <f>E29*F29</f>
        <v>12005000</v>
      </c>
      <c r="I29" s="136"/>
      <c r="J29" s="137">
        <v>17</v>
      </c>
      <c r="K29" s="99">
        <v>5.2</v>
      </c>
      <c r="L29" s="136">
        <f>E29*J29</f>
        <v>14577500</v>
      </c>
      <c r="M29" s="136"/>
    </row>
    <row r="30" spans="1:13" ht="18" customHeight="1" x14ac:dyDescent="0.3">
      <c r="B30" s="80" t="s">
        <v>108</v>
      </c>
      <c r="C30" s="136">
        <f>P8</f>
        <v>30</v>
      </c>
      <c r="D30" s="136">
        <f>Q8</f>
        <v>70</v>
      </c>
      <c r="E30" s="136">
        <f>C30*D30^3/12</f>
        <v>857500</v>
      </c>
      <c r="F30" s="137">
        <v>14</v>
      </c>
      <c r="G30" s="99">
        <v>4.5999999999999996</v>
      </c>
      <c r="H30" s="136">
        <f>E30*F30</f>
        <v>12005000</v>
      </c>
      <c r="I30" s="136"/>
      <c r="J30" s="137">
        <v>17</v>
      </c>
      <c r="K30" s="99">
        <v>5.2</v>
      </c>
      <c r="L30" s="136">
        <f>E30*J30</f>
        <v>14577500</v>
      </c>
      <c r="M30" s="136"/>
    </row>
    <row r="31" spans="1:13" ht="18" customHeight="1" x14ac:dyDescent="0.3"/>
    <row r="32" spans="1:13" ht="15.6" x14ac:dyDescent="0.3">
      <c r="B32" s="1"/>
      <c r="C32" s="512" t="s">
        <v>160</v>
      </c>
      <c r="D32" s="512"/>
      <c r="E32" s="512"/>
      <c r="F32" s="512"/>
      <c r="G32" s="512"/>
      <c r="H32" s="512"/>
      <c r="I32" s="512"/>
      <c r="J32" s="512"/>
      <c r="K32" s="512"/>
      <c r="L32" s="512"/>
      <c r="M32" s="512"/>
    </row>
    <row r="33" spans="2:13" ht="15.6" x14ac:dyDescent="0.3">
      <c r="C33" s="616" t="s">
        <v>154</v>
      </c>
      <c r="D33" s="694"/>
      <c r="E33" s="695"/>
      <c r="F33" s="696" t="s">
        <v>112</v>
      </c>
      <c r="G33" s="697"/>
      <c r="H33" s="697"/>
      <c r="I33" s="698"/>
      <c r="J33" s="512" t="s">
        <v>162</v>
      </c>
      <c r="K33" s="512"/>
      <c r="L33" s="512"/>
      <c r="M33" s="512"/>
    </row>
    <row r="34" spans="2:13" ht="18.600000000000001" x14ac:dyDescent="0.3">
      <c r="B34" s="1"/>
      <c r="C34" s="134" t="s">
        <v>109</v>
      </c>
      <c r="D34" s="134" t="s">
        <v>110</v>
      </c>
      <c r="E34" s="134" t="s">
        <v>153</v>
      </c>
      <c r="F34" s="134" t="s">
        <v>111</v>
      </c>
      <c r="G34" s="134" t="s">
        <v>113</v>
      </c>
      <c r="H34" s="138" t="s">
        <v>150</v>
      </c>
      <c r="I34" s="80" t="s">
        <v>152</v>
      </c>
      <c r="J34" s="134" t="s">
        <v>111</v>
      </c>
      <c r="K34" s="134" t="s">
        <v>113</v>
      </c>
      <c r="L34" s="138" t="s">
        <v>150</v>
      </c>
      <c r="M34" s="80" t="s">
        <v>152</v>
      </c>
    </row>
    <row r="35" spans="2:13" ht="15.6" x14ac:dyDescent="0.3">
      <c r="B35" s="80" t="s">
        <v>106</v>
      </c>
      <c r="C35" s="136">
        <f>R8</f>
        <v>30</v>
      </c>
      <c r="D35" s="136">
        <f>S8</f>
        <v>80</v>
      </c>
      <c r="E35" s="136">
        <f>C35*D35^3/12</f>
        <v>1280000</v>
      </c>
      <c r="F35" s="137">
        <v>12.1</v>
      </c>
      <c r="G35" s="135">
        <f>'Carichi unitari'!$M$4</f>
        <v>3.2</v>
      </c>
      <c r="H35" s="136">
        <f>E35*F35</f>
        <v>15488000</v>
      </c>
      <c r="I35" s="145">
        <f>(12*'Carichi unitari'!$P$4*H35/(G35^3))/100000000*(1/(1+0.5*(H35/G35*G36/H36+H35/G35*G37/H37)))</f>
        <v>625.88989183007959</v>
      </c>
      <c r="J35" s="137">
        <v>11.4</v>
      </c>
      <c r="K35" s="135">
        <f>'Carichi unitari'!$M$4</f>
        <v>3.2</v>
      </c>
      <c r="L35" s="136">
        <f>E35*J35</f>
        <v>14592000</v>
      </c>
      <c r="M35" s="145">
        <f>(12*'Carichi unitari'!$P$4*L35/(K35^3))/100000000*(1/(1+0.5*(L35/K35*K36/L36+L35/K35*K37/L37)))</f>
        <v>640.85538912430297</v>
      </c>
    </row>
    <row r="36" spans="2:13" ht="15.6" x14ac:dyDescent="0.3">
      <c r="B36" s="80" t="s">
        <v>107</v>
      </c>
      <c r="C36" s="136">
        <f>P8</f>
        <v>30</v>
      </c>
      <c r="D36" s="136">
        <f>Q8</f>
        <v>70</v>
      </c>
      <c r="E36" s="136">
        <f>C36*D36^3/12</f>
        <v>857500</v>
      </c>
      <c r="F36" s="137">
        <v>14</v>
      </c>
      <c r="G36" s="99">
        <v>4.5999999999999996</v>
      </c>
      <c r="H36" s="136">
        <f>E36*F36</f>
        <v>12005000</v>
      </c>
      <c r="I36" s="136"/>
      <c r="J36" s="137">
        <v>17</v>
      </c>
      <c r="K36" s="99">
        <v>5.2</v>
      </c>
      <c r="L36" s="136">
        <f>E36*J36</f>
        <v>14577500</v>
      </c>
      <c r="M36" s="136"/>
    </row>
    <row r="37" spans="2:13" ht="15.6" x14ac:dyDescent="0.3">
      <c r="B37" s="80" t="s">
        <v>108</v>
      </c>
      <c r="C37" s="136">
        <f>P9</f>
        <v>30</v>
      </c>
      <c r="D37" s="136">
        <f>Q9</f>
        <v>70</v>
      </c>
      <c r="E37" s="136">
        <f>C37*D37^3/12</f>
        <v>857500</v>
      </c>
      <c r="F37" s="137">
        <v>14</v>
      </c>
      <c r="G37" s="99">
        <v>4.5999999999999996</v>
      </c>
      <c r="H37" s="136">
        <f>E37*F37</f>
        <v>12005000</v>
      </c>
      <c r="I37" s="136"/>
      <c r="J37" s="137">
        <v>17</v>
      </c>
      <c r="K37" s="99">
        <v>5.2</v>
      </c>
      <c r="L37" s="136">
        <f>E37*J37</f>
        <v>14577500</v>
      </c>
      <c r="M37" s="136"/>
    </row>
    <row r="39" spans="2:13" ht="15.6" x14ac:dyDescent="0.3">
      <c r="B39" s="1"/>
      <c r="C39" s="512" t="s">
        <v>161</v>
      </c>
      <c r="D39" s="512"/>
      <c r="E39" s="512"/>
      <c r="F39" s="512"/>
      <c r="G39" s="512"/>
      <c r="H39" s="512"/>
      <c r="I39" s="512"/>
      <c r="J39" s="512"/>
      <c r="K39" s="512"/>
      <c r="L39" s="512"/>
      <c r="M39" s="512"/>
    </row>
    <row r="40" spans="2:13" ht="15.6" x14ac:dyDescent="0.3">
      <c r="C40" s="616" t="s">
        <v>154</v>
      </c>
      <c r="D40" s="694"/>
      <c r="E40" s="695"/>
      <c r="F40" s="696" t="s">
        <v>112</v>
      </c>
      <c r="G40" s="697"/>
      <c r="H40" s="697"/>
      <c r="I40" s="698"/>
      <c r="J40" s="512" t="s">
        <v>162</v>
      </c>
      <c r="K40" s="512"/>
      <c r="L40" s="512"/>
      <c r="M40" s="512"/>
    </row>
    <row r="41" spans="2:13" ht="18.600000000000001" x14ac:dyDescent="0.3">
      <c r="B41" s="1"/>
      <c r="C41" s="134" t="s">
        <v>109</v>
      </c>
      <c r="D41" s="134" t="s">
        <v>110</v>
      </c>
      <c r="E41" s="134" t="s">
        <v>153</v>
      </c>
      <c r="F41" s="134" t="s">
        <v>111</v>
      </c>
      <c r="G41" s="134" t="s">
        <v>113</v>
      </c>
      <c r="H41" s="138" t="s">
        <v>150</v>
      </c>
      <c r="I41" s="80" t="s">
        <v>152</v>
      </c>
      <c r="J41" s="134" t="s">
        <v>111</v>
      </c>
      <c r="K41" s="134" t="s">
        <v>113</v>
      </c>
      <c r="L41" s="138" t="s">
        <v>150</v>
      </c>
      <c r="M41" s="80" t="s">
        <v>152</v>
      </c>
    </row>
    <row r="42" spans="2:13" ht="15.6" x14ac:dyDescent="0.3">
      <c r="B42" s="80" t="s">
        <v>106</v>
      </c>
      <c r="C42" s="136">
        <f>R9</f>
        <v>30</v>
      </c>
      <c r="D42" s="136">
        <f>S9</f>
        <v>80</v>
      </c>
      <c r="E42" s="136">
        <f>C42*D42^3/12</f>
        <v>1280000</v>
      </c>
      <c r="F42" s="137">
        <v>12.1</v>
      </c>
      <c r="G42" s="50">
        <f>'Carichi unitari'!M5+0.6</f>
        <v>3.6</v>
      </c>
      <c r="H42" s="136">
        <f>E42*F42</f>
        <v>15488000</v>
      </c>
      <c r="I42" s="145">
        <f>(12*'Carichi unitari'!$P$4*H42/(G42^3))/100000000*(1/(1+0.5*(H42/G42*G43/H43+H42/G42*G44/H44)))</f>
        <v>687.82610969407813</v>
      </c>
      <c r="J42" s="137">
        <v>11.4</v>
      </c>
      <c r="K42" s="135">
        <f>'Carichi unitari'!M5+0.6</f>
        <v>3.6</v>
      </c>
      <c r="L42" s="136">
        <f>E42*J42</f>
        <v>14592000</v>
      </c>
      <c r="M42" s="145">
        <f>(12*'Carichi unitari'!$P$4*L42/(K42^3))/100000000*(1/(1+0.5*(L42/K42*K43/L43+L42/K42*K44/L44)))</f>
        <v>686.14070826188868</v>
      </c>
    </row>
    <row r="43" spans="2:13" ht="15.6" x14ac:dyDescent="0.3">
      <c r="B43" s="80" t="s">
        <v>107</v>
      </c>
      <c r="C43" s="136">
        <f>P9</f>
        <v>30</v>
      </c>
      <c r="D43" s="136">
        <f>Q9</f>
        <v>70</v>
      </c>
      <c r="E43" s="136">
        <f>C43*D43^3/12</f>
        <v>857500</v>
      </c>
      <c r="F43" s="137">
        <v>14</v>
      </c>
      <c r="G43" s="99">
        <v>4.5999999999999996</v>
      </c>
      <c r="H43" s="136">
        <f>E43*F43</f>
        <v>12005000</v>
      </c>
      <c r="I43" s="136"/>
      <c r="J43" s="137">
        <v>17</v>
      </c>
      <c r="K43" s="99">
        <v>5.2</v>
      </c>
      <c r="L43" s="136">
        <f>E43*J43</f>
        <v>14577500</v>
      </c>
      <c r="M43" s="136"/>
    </row>
    <row r="44" spans="2:13" ht="15.6" x14ac:dyDescent="0.3">
      <c r="B44" s="80" t="s">
        <v>108</v>
      </c>
      <c r="C44" s="136"/>
      <c r="D44" s="136"/>
      <c r="E44" s="136">
        <v>9999999999</v>
      </c>
      <c r="F44" s="137">
        <v>14</v>
      </c>
      <c r="G44" s="99">
        <v>4.5999999999999996</v>
      </c>
      <c r="H44" s="136">
        <f>E44*F44</f>
        <v>139999999986</v>
      </c>
      <c r="I44" s="136"/>
      <c r="J44" s="137">
        <v>17</v>
      </c>
      <c r="K44" s="99">
        <v>5.2</v>
      </c>
      <c r="L44" s="136">
        <f>E44*J44</f>
        <v>169999999983</v>
      </c>
      <c r="M44" s="136"/>
    </row>
    <row r="47" spans="2:13" ht="15.6" x14ac:dyDescent="0.3">
      <c r="B47" s="702" t="s">
        <v>81</v>
      </c>
      <c r="C47" s="701" t="s">
        <v>177</v>
      </c>
      <c r="D47" s="701" t="s">
        <v>178</v>
      </c>
      <c r="E47" s="1"/>
      <c r="F47" s="1"/>
      <c r="G47" s="1"/>
      <c r="H47" s="1"/>
      <c r="I47" s="1"/>
      <c r="J47" s="1"/>
      <c r="K47" s="1"/>
    </row>
    <row r="48" spans="2:13" ht="15.6" x14ac:dyDescent="0.3">
      <c r="B48" s="702"/>
      <c r="C48" s="701"/>
      <c r="D48" s="701"/>
      <c r="E48" s="1"/>
      <c r="F48" s="1"/>
      <c r="G48" s="1"/>
      <c r="H48" s="1"/>
      <c r="I48" s="1"/>
      <c r="J48" s="1"/>
      <c r="K48" s="1"/>
    </row>
    <row r="49" spans="2:11" ht="15.6" x14ac:dyDescent="0.3">
      <c r="B49" s="207" t="s">
        <v>64</v>
      </c>
      <c r="C49" s="218">
        <f>'Ap. globale'!I7</f>
        <v>239.51902995719689</v>
      </c>
      <c r="D49" s="218">
        <f>'Ap. globale'!M7</f>
        <v>246.31681564303153</v>
      </c>
      <c r="E49" s="1"/>
      <c r="F49" s="1"/>
      <c r="G49" s="1"/>
      <c r="H49" s="1"/>
      <c r="I49" s="1"/>
      <c r="J49" s="1"/>
      <c r="K49" s="1"/>
    </row>
    <row r="50" spans="2:11" ht="15.6" x14ac:dyDescent="0.3">
      <c r="B50" s="207">
        <v>5</v>
      </c>
      <c r="C50" s="218">
        <f>'Ap. globale'!I14</f>
        <v>279.71703678273002</v>
      </c>
      <c r="D50" s="218">
        <f>'Ap. globale'!M14</f>
        <v>285.61214520746728</v>
      </c>
      <c r="E50" s="1"/>
      <c r="F50" s="1"/>
      <c r="G50" s="1"/>
      <c r="H50" s="1"/>
      <c r="I50" s="1"/>
      <c r="J50" s="1"/>
      <c r="K50" s="1"/>
    </row>
    <row r="51" spans="2:11" ht="15.6" x14ac:dyDescent="0.3">
      <c r="B51" s="207">
        <v>4</v>
      </c>
      <c r="C51" s="218">
        <f>'Ap. globale'!I21</f>
        <v>458.99820675576808</v>
      </c>
      <c r="D51" s="218">
        <f>'Ap. globale'!M21</f>
        <v>467.900089826552</v>
      </c>
      <c r="E51" s="1"/>
      <c r="F51" s="1"/>
      <c r="G51" s="1"/>
      <c r="H51" s="1"/>
      <c r="I51" s="1"/>
      <c r="J51" s="1"/>
      <c r="K51" s="1"/>
    </row>
    <row r="52" spans="2:11" ht="15.6" x14ac:dyDescent="0.3">
      <c r="B52" s="207">
        <v>3</v>
      </c>
      <c r="C52" s="218">
        <f>'Ap. globale'!I28</f>
        <v>533.7602205635327</v>
      </c>
      <c r="D52" s="218">
        <f>'Ap. globale'!M28</f>
        <v>539.62949555495675</v>
      </c>
      <c r="E52" s="1"/>
      <c r="F52" s="1"/>
      <c r="G52" s="1"/>
      <c r="H52" s="1"/>
      <c r="I52" s="1"/>
      <c r="J52" s="1"/>
      <c r="K52" s="1"/>
    </row>
    <row r="53" spans="2:11" ht="15.6" x14ac:dyDescent="0.3">
      <c r="B53" s="207">
        <v>2</v>
      </c>
      <c r="C53" s="218">
        <f>'Ap. globale'!I35</f>
        <v>625.88989183007959</v>
      </c>
      <c r="D53" s="218">
        <f>'Ap. globale'!M35</f>
        <v>640.85538912430297</v>
      </c>
      <c r="E53" s="1"/>
      <c r="F53" s="1"/>
      <c r="G53" s="1"/>
      <c r="H53" s="1"/>
      <c r="I53" s="1"/>
      <c r="J53" s="1"/>
      <c r="K53" s="1"/>
    </row>
    <row r="54" spans="2:11" ht="15.6" x14ac:dyDescent="0.3">
      <c r="B54" s="207">
        <v>1</v>
      </c>
      <c r="C54" s="218">
        <f>'Ap. globale'!I42</f>
        <v>687.82610969407813</v>
      </c>
      <c r="D54" s="218">
        <f>'Ap. globale'!M42</f>
        <v>686.14070826188868</v>
      </c>
      <c r="E54" s="1"/>
      <c r="F54" s="1"/>
      <c r="G54" s="1"/>
      <c r="H54" s="1"/>
      <c r="I54" s="1"/>
      <c r="J54" s="1"/>
      <c r="K54" s="1"/>
    </row>
    <row r="55" spans="2:11" ht="15.6" x14ac:dyDescent="0.3">
      <c r="B55" s="1"/>
      <c r="C55" s="208"/>
      <c r="D55" s="208"/>
      <c r="E55" s="1"/>
      <c r="F55" s="1"/>
      <c r="G55" s="1"/>
      <c r="H55" s="1"/>
      <c r="I55" s="1"/>
      <c r="J55" s="1"/>
      <c r="K55" s="1"/>
    </row>
    <row r="56" spans="2:11" ht="16.2" thickBot="1" x14ac:dyDescent="0.35">
      <c r="B56" s="700" t="s">
        <v>112</v>
      </c>
      <c r="C56" s="700"/>
      <c r="D56" s="700"/>
      <c r="E56" s="700"/>
      <c r="F56" s="700"/>
      <c r="G56" s="700"/>
      <c r="H56" s="700"/>
      <c r="I56" s="700"/>
      <c r="J56" s="700"/>
      <c r="K56" s="700"/>
    </row>
    <row r="57" spans="2:11" x14ac:dyDescent="0.3">
      <c r="B57" s="714" t="s">
        <v>81</v>
      </c>
      <c r="C57" s="707" t="s">
        <v>77</v>
      </c>
      <c r="D57" s="712" t="s">
        <v>78</v>
      </c>
      <c r="E57" s="705" t="s">
        <v>177</v>
      </c>
      <c r="F57" s="705" t="s">
        <v>179</v>
      </c>
      <c r="G57" s="705" t="s">
        <v>175</v>
      </c>
      <c r="H57" s="707" t="s">
        <v>68</v>
      </c>
      <c r="I57" s="709" t="s">
        <v>176</v>
      </c>
      <c r="J57" s="711" t="s">
        <v>180</v>
      </c>
      <c r="K57" s="703" t="s">
        <v>182</v>
      </c>
    </row>
    <row r="58" spans="2:11" ht="15" thickBot="1" x14ac:dyDescent="0.35">
      <c r="B58" s="715"/>
      <c r="C58" s="708"/>
      <c r="D58" s="713"/>
      <c r="E58" s="706"/>
      <c r="F58" s="706"/>
      <c r="G58" s="706"/>
      <c r="H58" s="708"/>
      <c r="I58" s="710"/>
      <c r="J58" s="711"/>
      <c r="K58" s="704"/>
    </row>
    <row r="59" spans="2:11" ht="16.2" thickBot="1" x14ac:dyDescent="0.35">
      <c r="B59" s="219" t="s">
        <v>64</v>
      </c>
      <c r="C59" s="57">
        <f>'Ap. tipologi di pila '!B273</f>
        <v>630.92128965500399</v>
      </c>
      <c r="D59" s="57">
        <f>'Ap. tipologi di pila '!C273</f>
        <v>630.92128965500399</v>
      </c>
      <c r="E59" s="57">
        <f t="shared" ref="E59:E64" si="0">C49</f>
        <v>239.51902995719689</v>
      </c>
      <c r="F59" s="57">
        <f t="shared" ref="F59:F64" si="1">D59/E59</f>
        <v>2.6341175887684263</v>
      </c>
      <c r="G59" s="57">
        <f>F59+G60</f>
        <v>23.976050840975809</v>
      </c>
      <c r="H59" s="57">
        <f>'Ap. tipologi di pila '!G273</f>
        <v>325.9479549781895</v>
      </c>
      <c r="I59" s="57">
        <f t="shared" ref="I59:I64" si="2">C59*G59</f>
        <v>15127.0009174224</v>
      </c>
      <c r="J59" s="220">
        <f t="shared" ref="J59:J64" si="3">H59/1000*G59^2</f>
        <v>187.37151240731478</v>
      </c>
      <c r="K59" s="221">
        <f>2*3.14*SQRT(J65/I65)</f>
        <v>0.70802806669843077</v>
      </c>
    </row>
    <row r="60" spans="2:11" ht="15.6" x14ac:dyDescent="0.3">
      <c r="B60" s="207">
        <v>5</v>
      </c>
      <c r="C60" s="57">
        <f>'Ap. tipologi di pila '!B274</f>
        <v>690.89820449766194</v>
      </c>
      <c r="D60" s="57">
        <f>'Ap. tipologi di pila '!C274</f>
        <v>1321.8194941526658</v>
      </c>
      <c r="E60" s="57">
        <f t="shared" si="0"/>
        <v>279.71703678273002</v>
      </c>
      <c r="F60" s="57">
        <f t="shared" si="1"/>
        <v>4.7255594773778045</v>
      </c>
      <c r="G60" s="57">
        <f>F60+G61</f>
        <v>21.341933252207383</v>
      </c>
      <c r="H60" s="57">
        <f>'Ap. tipologi di pila '!G274</f>
        <v>426.57889563238575</v>
      </c>
      <c r="I60" s="57">
        <f t="shared" si="2"/>
        <v>14745.103364459028</v>
      </c>
      <c r="J60" s="57">
        <f t="shared" si="3"/>
        <v>194.29735125654068</v>
      </c>
      <c r="K60" s="1"/>
    </row>
    <row r="61" spans="2:11" ht="15.6" x14ac:dyDescent="0.3">
      <c r="B61" s="207">
        <v>4</v>
      </c>
      <c r="C61" s="57">
        <f>'Ap. tipologi di pila '!B275</f>
        <v>558.36113126631869</v>
      </c>
      <c r="D61" s="57">
        <f>'Ap. tipologi di pila '!C275</f>
        <v>1880.1806254189846</v>
      </c>
      <c r="E61" s="57">
        <f t="shared" si="0"/>
        <v>458.99820675576808</v>
      </c>
      <c r="F61" s="57">
        <f t="shared" si="1"/>
        <v>4.0962700893936708</v>
      </c>
      <c r="G61" s="57">
        <f>F61+G62</f>
        <v>16.616373774829579</v>
      </c>
      <c r="H61" s="57">
        <f>'Ap. tipologi di pila '!G275</f>
        <v>428.32201489844073</v>
      </c>
      <c r="I61" s="57">
        <f t="shared" si="2"/>
        <v>9277.9372584578341</v>
      </c>
      <c r="J61" s="57">
        <f t="shared" si="3"/>
        <v>118.26136909988138</v>
      </c>
      <c r="K61" s="1"/>
    </row>
    <row r="62" spans="2:11" ht="15.6" x14ac:dyDescent="0.3">
      <c r="B62" s="207">
        <v>3</v>
      </c>
      <c r="C62" s="57">
        <f>'Ap. tipologi di pila '!B276</f>
        <v>435.57962491427855</v>
      </c>
      <c r="D62" s="57">
        <f>'Ap. tipologi di pila '!C276</f>
        <v>2315.7602503332632</v>
      </c>
      <c r="E62" s="57">
        <f t="shared" si="0"/>
        <v>533.7602205635327</v>
      </c>
      <c r="F62" s="57">
        <f t="shared" si="1"/>
        <v>4.3385778128769745</v>
      </c>
      <c r="G62" s="57">
        <f>F62+G63</f>
        <v>12.52010368543591</v>
      </c>
      <c r="H62" s="57">
        <f>'Ap. tipologi di pila '!G276</f>
        <v>441.05901795654478</v>
      </c>
      <c r="I62" s="57">
        <f t="shared" si="2"/>
        <v>5453.5020671900502</v>
      </c>
      <c r="J62" s="57">
        <f t="shared" si="3"/>
        <v>69.137322607206585</v>
      </c>
      <c r="K62" s="1"/>
    </row>
    <row r="63" spans="2:11" ht="15.6" x14ac:dyDescent="0.3">
      <c r="B63" s="207">
        <v>2</v>
      </c>
      <c r="C63" s="57">
        <f>'Ap. tipologi di pila '!B277</f>
        <v>297.24151990107487</v>
      </c>
      <c r="D63" s="57">
        <f>'Ap. tipologi di pila '!C277</f>
        <v>2613.001770234338</v>
      </c>
      <c r="E63" s="57">
        <f t="shared" si="0"/>
        <v>625.88989183007959</v>
      </c>
      <c r="F63" s="57">
        <f t="shared" si="1"/>
        <v>4.1748585563412988</v>
      </c>
      <c r="G63" s="57">
        <f>F63+G64</f>
        <v>8.1815258725589359</v>
      </c>
      <c r="H63" s="57">
        <f>'Ap. tipologi di pila '!G277</f>
        <v>442.61865098406764</v>
      </c>
      <c r="I63" s="57">
        <f t="shared" si="2"/>
        <v>2431.8891854693857</v>
      </c>
      <c r="J63" s="57">
        <f t="shared" si="3"/>
        <v>29.627726463782665</v>
      </c>
      <c r="K63" s="1"/>
    </row>
    <row r="64" spans="2:11" ht="15.6" x14ac:dyDescent="0.3">
      <c r="B64" s="207">
        <v>1</v>
      </c>
      <c r="C64" s="57">
        <f>'Ap. tipologi di pila '!B278</f>
        <v>142.88862271805201</v>
      </c>
      <c r="D64" s="57">
        <f>'Ap. tipologi di pila '!C278</f>
        <v>2755.8903929523899</v>
      </c>
      <c r="E64" s="57">
        <f t="shared" si="0"/>
        <v>687.82610969407813</v>
      </c>
      <c r="F64" s="57">
        <f t="shared" si="1"/>
        <v>4.0066673162176372</v>
      </c>
      <c r="G64" s="57">
        <f>F64</f>
        <v>4.0066673162176372</v>
      </c>
      <c r="H64" s="57">
        <f>'Ap. tipologi di pila '!G278</f>
        <v>401.90582341600805</v>
      </c>
      <c r="I64" s="57">
        <f t="shared" si="2"/>
        <v>572.50717450377192</v>
      </c>
      <c r="J64" s="57">
        <f t="shared" si="3"/>
        <v>6.4519481063335116</v>
      </c>
      <c r="K64" s="1"/>
    </row>
    <row r="65" spans="2:11" ht="15.6" x14ac:dyDescent="0.3">
      <c r="B65" s="78" t="s">
        <v>181</v>
      </c>
      <c r="C65" s="63"/>
      <c r="D65" s="63"/>
      <c r="E65" s="217"/>
      <c r="F65" s="217"/>
      <c r="G65" s="217"/>
      <c r="H65" s="57"/>
      <c r="I65" s="57">
        <f>I59+I60+I61+I62+I63+I64</f>
        <v>47607.939967502469</v>
      </c>
      <c r="J65" s="57">
        <f>J59+J60+J61+J62+J63+J64</f>
        <v>605.14722994105955</v>
      </c>
      <c r="K65" s="1"/>
    </row>
    <row r="66" spans="2:11" ht="15.6" x14ac:dyDescent="0.3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2:11" ht="16.2" thickBot="1" x14ac:dyDescent="0.35">
      <c r="B67" s="700" t="s">
        <v>162</v>
      </c>
      <c r="C67" s="700"/>
      <c r="D67" s="700"/>
      <c r="E67" s="700"/>
      <c r="F67" s="700"/>
      <c r="G67" s="700"/>
      <c r="H67" s="700"/>
      <c r="I67" s="700"/>
      <c r="J67" s="700"/>
      <c r="K67" s="700"/>
    </row>
    <row r="68" spans="2:11" x14ac:dyDescent="0.3">
      <c r="B68" s="714" t="s">
        <v>81</v>
      </c>
      <c r="C68" s="707" t="s">
        <v>77</v>
      </c>
      <c r="D68" s="712" t="s">
        <v>78</v>
      </c>
      <c r="E68" s="705" t="s">
        <v>178</v>
      </c>
      <c r="F68" s="705" t="s">
        <v>179</v>
      </c>
      <c r="G68" s="705" t="s">
        <v>175</v>
      </c>
      <c r="H68" s="707" t="s">
        <v>68</v>
      </c>
      <c r="I68" s="709" t="s">
        <v>176</v>
      </c>
      <c r="J68" s="716" t="s">
        <v>180</v>
      </c>
      <c r="K68" s="703" t="s">
        <v>182</v>
      </c>
    </row>
    <row r="69" spans="2:11" ht="15" thickBot="1" x14ac:dyDescent="0.35">
      <c r="B69" s="715"/>
      <c r="C69" s="708"/>
      <c r="D69" s="713"/>
      <c r="E69" s="706"/>
      <c r="F69" s="706"/>
      <c r="G69" s="706"/>
      <c r="H69" s="708"/>
      <c r="I69" s="710"/>
      <c r="J69" s="716"/>
      <c r="K69" s="704"/>
    </row>
    <row r="70" spans="2:11" ht="16.2" thickBot="1" x14ac:dyDescent="0.35">
      <c r="B70" s="219" t="s">
        <v>64</v>
      </c>
      <c r="C70" s="57">
        <f>'Ap. tipologi di pila '!M273</f>
        <v>630.92128965500399</v>
      </c>
      <c r="D70" s="57">
        <f>'Ap. tipologi di pila '!N273</f>
        <v>630.92128965500399</v>
      </c>
      <c r="E70" s="57">
        <f t="shared" ref="E70:E75" si="4">D49</f>
        <v>246.31681564303153</v>
      </c>
      <c r="F70" s="57">
        <f t="shared" ref="F70:F75" si="5">D70/E70</f>
        <v>2.5614219151377422</v>
      </c>
      <c r="G70" s="57">
        <f>F70+G71</f>
        <v>23.593046527685718</v>
      </c>
      <c r="H70" s="57">
        <f>'Ap. tipologi di pila '!R273</f>
        <v>325.9479549781895</v>
      </c>
      <c r="I70" s="57">
        <f t="shared" ref="I70:I75" si="6">C70*G70</f>
        <v>14885.355342137987</v>
      </c>
      <c r="J70" s="57">
        <f t="shared" ref="J70:J75" si="7">H70/1000*G70^2</f>
        <v>181.43301137667385</v>
      </c>
      <c r="K70" s="221">
        <f>2*3.14*SQRT(J76/I76)</f>
        <v>0.7031045496958408</v>
      </c>
    </row>
    <row r="71" spans="2:11" ht="15.6" x14ac:dyDescent="0.3">
      <c r="B71" s="207">
        <v>5</v>
      </c>
      <c r="C71" s="57">
        <f>'Ap. tipologi di pila '!M274</f>
        <v>690.89820449766194</v>
      </c>
      <c r="D71" s="57">
        <f>'Ap. tipologi di pila '!N274</f>
        <v>1321.8194941526658</v>
      </c>
      <c r="E71" s="57">
        <f t="shared" si="4"/>
        <v>285.61214520746728</v>
      </c>
      <c r="F71" s="57">
        <f t="shared" si="5"/>
        <v>4.6280227095822646</v>
      </c>
      <c r="G71" s="57">
        <f>F71+G72</f>
        <v>21.031624612547976</v>
      </c>
      <c r="H71" s="57">
        <f>'Ap. tipologi di pila '!R274</f>
        <v>426.57889563238575</v>
      </c>
      <c r="I71" s="57">
        <f t="shared" si="6"/>
        <v>14530.711682478232</v>
      </c>
      <c r="J71" s="57">
        <f t="shared" si="7"/>
        <v>188.68831607872335</v>
      </c>
    </row>
    <row r="72" spans="2:11" ht="15.6" x14ac:dyDescent="0.3">
      <c r="B72" s="207">
        <v>4</v>
      </c>
      <c r="C72" s="57">
        <f>'Ap. tipologi di pila '!M275</f>
        <v>558.36113126631869</v>
      </c>
      <c r="D72" s="57">
        <f>'Ap. tipologi di pila '!N275</f>
        <v>1880.1806254189846</v>
      </c>
      <c r="E72" s="57">
        <f t="shared" si="4"/>
        <v>467.900089826552</v>
      </c>
      <c r="F72" s="57">
        <f t="shared" si="5"/>
        <v>4.0183378167675867</v>
      </c>
      <c r="G72" s="57">
        <f>F72+G73</f>
        <v>16.403601902965711</v>
      </c>
      <c r="H72" s="57">
        <f>'Ap. tipologi di pila '!R275</f>
        <v>428.32201489844073</v>
      </c>
      <c r="I72" s="57">
        <f t="shared" si="6"/>
        <v>9159.1337153822733</v>
      </c>
      <c r="J72" s="57">
        <f t="shared" si="7"/>
        <v>115.25209768222042</v>
      </c>
    </row>
    <row r="73" spans="2:11" ht="15.6" x14ac:dyDescent="0.3">
      <c r="B73" s="207">
        <v>3</v>
      </c>
      <c r="C73" s="57">
        <f>'Ap. tipologi di pila '!M276</f>
        <v>435.57962491427855</v>
      </c>
      <c r="D73" s="57">
        <f>'Ap. tipologi di pila '!N276</f>
        <v>2315.7602503332632</v>
      </c>
      <c r="E73" s="57">
        <f t="shared" si="4"/>
        <v>539.62949555495675</v>
      </c>
      <c r="F73" s="57">
        <f t="shared" si="5"/>
        <v>4.2913893132393142</v>
      </c>
      <c r="G73" s="57">
        <f>F73+G74</f>
        <v>12.385264086198125</v>
      </c>
      <c r="H73" s="57">
        <f>'Ap. tipologi di pila '!R276</f>
        <v>441.05901795654478</v>
      </c>
      <c r="I73" s="57">
        <f t="shared" si="6"/>
        <v>5394.7686851304643</v>
      </c>
      <c r="J73" s="57">
        <f t="shared" si="7"/>
        <v>67.656145065489866</v>
      </c>
    </row>
    <row r="74" spans="2:11" ht="15.6" x14ac:dyDescent="0.3">
      <c r="B74" s="207">
        <v>2</v>
      </c>
      <c r="C74" s="57">
        <f>'Ap. tipologi di pila '!M277</f>
        <v>297.24151990107487</v>
      </c>
      <c r="D74" s="57">
        <f>'Ap. tipologi di pila '!N277</f>
        <v>2613.001770234338</v>
      </c>
      <c r="E74" s="57">
        <f t="shared" si="4"/>
        <v>640.85538912430297</v>
      </c>
      <c r="F74" s="57">
        <f t="shared" si="5"/>
        <v>4.0773656812106625</v>
      </c>
      <c r="G74" s="57">
        <f>F74+G75</f>
        <v>8.0938747729588112</v>
      </c>
      <c r="H74" s="57">
        <f>'Ap. tipologi di pila '!R277</f>
        <v>442.61865098406764</v>
      </c>
      <c r="I74" s="57">
        <f t="shared" si="6"/>
        <v>2405.8356394032444</v>
      </c>
      <c r="J74" s="57">
        <f t="shared" si="7"/>
        <v>28.996305833786007</v>
      </c>
    </row>
    <row r="75" spans="2:11" ht="15.6" x14ac:dyDescent="0.3">
      <c r="B75" s="207">
        <v>1</v>
      </c>
      <c r="C75" s="57">
        <f>'Ap. tipologi di pila '!M278</f>
        <v>142.88862271805201</v>
      </c>
      <c r="D75" s="57">
        <f>'Ap. tipologi di pila '!N278</f>
        <v>2755.8903929523899</v>
      </c>
      <c r="E75" s="57">
        <f t="shared" si="4"/>
        <v>686.14070826188868</v>
      </c>
      <c r="F75" s="57">
        <f t="shared" si="5"/>
        <v>4.0165090917481487</v>
      </c>
      <c r="G75" s="57">
        <f>F75</f>
        <v>4.0165090917481487</v>
      </c>
      <c r="H75" s="57">
        <f>'Ap. tipologi di pila '!R278</f>
        <v>401.90582341600805</v>
      </c>
      <c r="I75" s="57">
        <f t="shared" si="6"/>
        <v>573.91345225442694</v>
      </c>
      <c r="J75" s="57">
        <f t="shared" si="7"/>
        <v>6.4836835150357723</v>
      </c>
    </row>
    <row r="76" spans="2:11" ht="15.6" x14ac:dyDescent="0.3">
      <c r="B76" s="78" t="s">
        <v>181</v>
      </c>
      <c r="C76" s="63"/>
      <c r="D76" s="63"/>
      <c r="E76" s="217"/>
      <c r="F76" s="217"/>
      <c r="G76" s="217"/>
      <c r="H76" s="57"/>
      <c r="I76" s="57">
        <f>I70+I71+I72+I73+I74+I75</f>
        <v>46949.718516786634</v>
      </c>
      <c r="J76" s="57">
        <f>J70+J71+J72+J73+J74+J75</f>
        <v>588.50955955192921</v>
      </c>
    </row>
  </sheetData>
  <mergeCells count="52">
    <mergeCell ref="H68:H69"/>
    <mergeCell ref="I68:I69"/>
    <mergeCell ref="J68:J69"/>
    <mergeCell ref="K68:K69"/>
    <mergeCell ref="B68:B69"/>
    <mergeCell ref="C68:C69"/>
    <mergeCell ref="D68:D69"/>
    <mergeCell ref="E68:E69"/>
    <mergeCell ref="F68:F69"/>
    <mergeCell ref="G68:G69"/>
    <mergeCell ref="B56:K56"/>
    <mergeCell ref="B67:K67"/>
    <mergeCell ref="D47:D48"/>
    <mergeCell ref="C47:C48"/>
    <mergeCell ref="B47:B48"/>
    <mergeCell ref="K57:K58"/>
    <mergeCell ref="E57:E58"/>
    <mergeCell ref="F57:F58"/>
    <mergeCell ref="G57:G58"/>
    <mergeCell ref="H57:H58"/>
    <mergeCell ref="I57:I58"/>
    <mergeCell ref="J57:J58"/>
    <mergeCell ref="D57:D58"/>
    <mergeCell ref="C57:C58"/>
    <mergeCell ref="B57:B58"/>
    <mergeCell ref="C39:M39"/>
    <mergeCell ref="C40:E40"/>
    <mergeCell ref="F40:I40"/>
    <mergeCell ref="J40:M40"/>
    <mergeCell ref="C26:E26"/>
    <mergeCell ref="F26:I26"/>
    <mergeCell ref="J26:M26"/>
    <mergeCell ref="C32:M32"/>
    <mergeCell ref="C33:E33"/>
    <mergeCell ref="F33:I33"/>
    <mergeCell ref="J33:M33"/>
    <mergeCell ref="C18:M18"/>
    <mergeCell ref="C19:E19"/>
    <mergeCell ref="F19:I19"/>
    <mergeCell ref="J19:M19"/>
    <mergeCell ref="C25:M25"/>
    <mergeCell ref="P2:Q3"/>
    <mergeCell ref="R2:S3"/>
    <mergeCell ref="C5:E5"/>
    <mergeCell ref="F5:I5"/>
    <mergeCell ref="J5:M5"/>
    <mergeCell ref="C4:M4"/>
    <mergeCell ref="C11:M11"/>
    <mergeCell ref="C12:E12"/>
    <mergeCell ref="F12:I12"/>
    <mergeCell ref="J12:M12"/>
    <mergeCell ref="O2:O3"/>
  </mergeCells>
  <pageMargins left="0.7" right="0.7" top="0.75" bottom="0.75" header="0.3" footer="0.3"/>
  <pageSetup paperSize="9" orientation="portrait" horizontalDpi="360" verticalDpi="360" r:id="rId1"/>
  <ignoredErrors>
    <ignoredError sqref="Q4:Q9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01"/>
  <sheetViews>
    <sheetView topLeftCell="A263" zoomScale="70" zoomScaleNormal="70" workbookViewId="0">
      <selection activeCell="H273" sqref="H273"/>
    </sheetView>
  </sheetViews>
  <sheetFormatPr defaultRowHeight="14.4" x14ac:dyDescent="0.3"/>
  <cols>
    <col min="1" max="1" width="10.6640625" customWidth="1"/>
    <col min="2" max="2" width="10.109375" customWidth="1"/>
    <col min="3" max="3" width="10" customWidth="1"/>
    <col min="4" max="4" width="9.5546875" customWidth="1"/>
    <col min="5" max="7" width="8.77734375" customWidth="1"/>
    <col min="8" max="12" width="11.88671875" customWidth="1"/>
    <col min="13" max="14" width="8.77734375" customWidth="1"/>
    <col min="15" max="15" width="10.6640625" customWidth="1"/>
    <col min="16" max="17" width="8.77734375" customWidth="1"/>
    <col min="18" max="18" width="8.88671875" customWidth="1"/>
    <col min="19" max="19" width="12" customWidth="1"/>
    <col min="20" max="24" width="8.77734375" customWidth="1"/>
    <col min="25" max="25" width="11.77734375" customWidth="1"/>
    <col min="26" max="26" width="10.77734375" customWidth="1"/>
    <col min="27" max="27" width="13.109375" customWidth="1"/>
    <col min="28" max="42" width="10.77734375" customWidth="1"/>
  </cols>
  <sheetData>
    <row r="1" spans="1:25" x14ac:dyDescent="0.3">
      <c r="G1" s="239"/>
    </row>
    <row r="2" spans="1:25" ht="15" thickBot="1" x14ac:dyDescent="0.35"/>
    <row r="3" spans="1:25" ht="16.2" thickBot="1" x14ac:dyDescent="0.35">
      <c r="A3" s="1"/>
      <c r="B3" s="720" t="s">
        <v>105</v>
      </c>
      <c r="C3" s="721"/>
      <c r="D3" s="721"/>
      <c r="E3" s="721"/>
      <c r="F3" s="721"/>
      <c r="G3" s="721"/>
      <c r="H3" s="722"/>
      <c r="I3" s="212"/>
      <c r="J3" s="212"/>
      <c r="K3" s="212"/>
      <c r="L3" s="212"/>
      <c r="M3" s="723" t="s">
        <v>112</v>
      </c>
      <c r="N3" s="724"/>
      <c r="O3" s="723" t="s">
        <v>162</v>
      </c>
      <c r="P3" s="724"/>
      <c r="Q3" s="153"/>
      <c r="R3" s="153"/>
      <c r="S3" s="699" t="s">
        <v>156</v>
      </c>
      <c r="T3" s="702" t="s">
        <v>148</v>
      </c>
      <c r="U3" s="702"/>
      <c r="V3" s="702" t="s">
        <v>145</v>
      </c>
      <c r="W3" s="702"/>
      <c r="X3" s="702" t="s">
        <v>169</v>
      </c>
      <c r="Y3" s="702"/>
    </row>
    <row r="4" spans="1:25" ht="19.2" thickBot="1" x14ac:dyDescent="0.35">
      <c r="B4" s="156" t="s">
        <v>109</v>
      </c>
      <c r="C4" s="157" t="s">
        <v>110</v>
      </c>
      <c r="D4" s="157" t="s">
        <v>153</v>
      </c>
      <c r="E4" s="157" t="s">
        <v>113</v>
      </c>
      <c r="F4" s="157" t="s">
        <v>164</v>
      </c>
      <c r="G4" s="157"/>
      <c r="H4" s="158" t="s">
        <v>152</v>
      </c>
      <c r="I4" s="157" t="s">
        <v>113</v>
      </c>
      <c r="J4" s="157" t="s">
        <v>164</v>
      </c>
      <c r="K4" s="157"/>
      <c r="L4" s="158" t="s">
        <v>152</v>
      </c>
      <c r="M4" s="156" t="s">
        <v>111</v>
      </c>
      <c r="N4" s="159" t="s">
        <v>170</v>
      </c>
      <c r="O4" s="156" t="s">
        <v>111</v>
      </c>
      <c r="P4" s="159" t="s">
        <v>170</v>
      </c>
      <c r="R4" s="150"/>
      <c r="S4" s="699"/>
      <c r="T4" s="702"/>
      <c r="U4" s="702"/>
      <c r="V4" s="702"/>
      <c r="W4" s="702"/>
      <c r="X4" s="702"/>
      <c r="Y4" s="702"/>
    </row>
    <row r="5" spans="1:25" ht="20.399999999999999" customHeight="1" thickBot="1" x14ac:dyDescent="0.35">
      <c r="B5" s="739" t="s">
        <v>163</v>
      </c>
      <c r="C5" s="727"/>
      <c r="D5" s="727"/>
      <c r="E5" s="727"/>
      <c r="F5" s="727"/>
      <c r="G5" s="727"/>
      <c r="H5" s="727"/>
      <c r="I5" s="726"/>
      <c r="J5" s="726"/>
      <c r="K5" s="726"/>
      <c r="L5" s="726"/>
      <c r="M5" s="727"/>
      <c r="N5" s="727"/>
      <c r="O5" s="727"/>
      <c r="P5" s="728"/>
      <c r="R5" s="151"/>
      <c r="S5" s="141">
        <v>6</v>
      </c>
      <c r="T5" s="137">
        <f>'Car. sol'!H28</f>
        <v>30</v>
      </c>
      <c r="U5" s="137">
        <f>'Car. sol'!I28</f>
        <v>50</v>
      </c>
      <c r="V5" s="105">
        <f>'Car. sol'!G38</f>
        <v>30</v>
      </c>
      <c r="W5" s="137">
        <f>'Car. sol'!H38</f>
        <v>60</v>
      </c>
      <c r="X5" s="105">
        <f>'Car. sol'!J28</f>
        <v>100</v>
      </c>
      <c r="Y5" s="137">
        <f>'Car. sol'!K28</f>
        <v>24</v>
      </c>
    </row>
    <row r="6" spans="1:25" ht="15.6" x14ac:dyDescent="0.3">
      <c r="A6" s="160" t="s">
        <v>106</v>
      </c>
      <c r="B6" s="165">
        <f>$V$5</f>
        <v>30</v>
      </c>
      <c r="C6" s="166">
        <f>$W$5</f>
        <v>60</v>
      </c>
      <c r="D6" s="166">
        <f t="shared" ref="D6:D11" si="0">B6*C6^3/12</f>
        <v>540000</v>
      </c>
      <c r="E6" s="166">
        <f>'Carichi unitari'!$M$4</f>
        <v>3.2</v>
      </c>
      <c r="F6" s="167">
        <f t="shared" ref="F6:F11" si="1">D6/(100*E6)</f>
        <v>1687.5</v>
      </c>
      <c r="G6" s="166"/>
      <c r="H6" s="239">
        <f>12*'Carichi unitari'!$P$4*F6/E6^2/1000000/(1+0.5*(F6/G7+F6/G8))</f>
        <v>17.879586816518369</v>
      </c>
      <c r="I6" s="165">
        <f>'Carichi unitari'!$M$4</f>
        <v>3.2</v>
      </c>
      <c r="J6" s="167">
        <f t="shared" ref="J6:J11" si="2">D6/(100*I6)</f>
        <v>1687.5</v>
      </c>
      <c r="K6" s="167"/>
      <c r="L6" s="168">
        <f>12*'Carichi unitari'!$P$4*J6/I6^2/1000000/(1+0.5*(J6/K7+J6/K8))</f>
        <v>16.358319450827203</v>
      </c>
      <c r="M6" s="195">
        <v>7</v>
      </c>
      <c r="N6" s="168">
        <f>H6*M6+H9*M9+H16*M16+H20*M20+H23*M23+H27*M27+H30*M30+H34*M34+H39*M39+H13*M13</f>
        <v>256.057370302923</v>
      </c>
      <c r="O6" s="170">
        <v>9</v>
      </c>
      <c r="P6" s="168">
        <f>L6*O6+L9*O9+L16*O16+L20*O20+L23*O23+L27*O27+L30*O30+L34*O34+L13*O13+L39*O39</f>
        <v>253.56132897548517</v>
      </c>
      <c r="Q6" s="62"/>
      <c r="R6" s="127"/>
      <c r="S6" s="140">
        <v>5</v>
      </c>
      <c r="T6" s="137">
        <f>'Car. sol'!H29</f>
        <v>30</v>
      </c>
      <c r="U6" s="137">
        <f>'Car. sol'!I29</f>
        <v>50</v>
      </c>
      <c r="V6" s="105">
        <f>'Car. sol'!G39</f>
        <v>30</v>
      </c>
      <c r="W6" s="137">
        <f>'Car. sol'!H39</f>
        <v>60</v>
      </c>
      <c r="X6" s="105">
        <f>'Car. sol'!J29</f>
        <v>60</v>
      </c>
      <c r="Y6" s="137">
        <f>'Car. sol'!K29</f>
        <v>24</v>
      </c>
    </row>
    <row r="7" spans="1:25" ht="15.6" x14ac:dyDescent="0.3">
      <c r="A7" s="161" t="s">
        <v>107</v>
      </c>
      <c r="B7" s="171">
        <f>$T$5</f>
        <v>30</v>
      </c>
      <c r="C7" s="50">
        <f>$U$5</f>
        <v>50</v>
      </c>
      <c r="D7" s="50">
        <f t="shared" si="0"/>
        <v>312500</v>
      </c>
      <c r="E7" s="99">
        <v>4.5999999999999996</v>
      </c>
      <c r="F7" s="172">
        <f t="shared" si="1"/>
        <v>679.34782608695662</v>
      </c>
      <c r="G7" s="172">
        <f>(F7+F7)/2</f>
        <v>679.34782608695662</v>
      </c>
      <c r="H7" s="249">
        <f>H6/$H$6</f>
        <v>1</v>
      </c>
      <c r="I7" s="184">
        <v>5.2</v>
      </c>
      <c r="J7" s="172">
        <f t="shared" si="2"/>
        <v>600.96153846153845</v>
      </c>
      <c r="K7" s="172">
        <f>(J7+J7)/2</f>
        <v>600.96153846153845</v>
      </c>
      <c r="L7" s="247">
        <f>L6/L6</f>
        <v>1</v>
      </c>
      <c r="M7" s="196"/>
      <c r="N7" s="248">
        <f>N6/H6</f>
        <v>14.321212952547647</v>
      </c>
      <c r="O7" s="174"/>
      <c r="P7" s="248">
        <f>P6/L6</f>
        <v>15.500450993006078</v>
      </c>
      <c r="Q7" s="63"/>
      <c r="R7" s="127"/>
      <c r="S7" s="140">
        <v>4</v>
      </c>
      <c r="T7" s="137">
        <f>'Car. sol'!H30</f>
        <v>30</v>
      </c>
      <c r="U7" s="137">
        <f>'Car. sol'!I30</f>
        <v>60</v>
      </c>
      <c r="V7" s="105">
        <f>'Car. sol'!G40</f>
        <v>30</v>
      </c>
      <c r="W7" s="137">
        <f>'Car. sol'!H40</f>
        <v>70</v>
      </c>
    </row>
    <row r="8" spans="1:25" ht="16.2" thickBot="1" x14ac:dyDescent="0.35">
      <c r="A8" s="163" t="s">
        <v>108</v>
      </c>
      <c r="B8" s="175">
        <f>$T$6</f>
        <v>30</v>
      </c>
      <c r="C8" s="176">
        <f>$U$6</f>
        <v>50</v>
      </c>
      <c r="D8" s="176">
        <f t="shared" si="0"/>
        <v>312500</v>
      </c>
      <c r="E8" s="149">
        <v>4.5999999999999996</v>
      </c>
      <c r="F8" s="177">
        <f t="shared" si="1"/>
        <v>679.34782608695662</v>
      </c>
      <c r="G8" s="177">
        <f>(F8+F8)/2</f>
        <v>679.34782608695662</v>
      </c>
      <c r="H8" s="240"/>
      <c r="I8" s="241">
        <v>5.2</v>
      </c>
      <c r="J8" s="177">
        <f t="shared" si="2"/>
        <v>600.96153846153845</v>
      </c>
      <c r="K8" s="177">
        <f>(J8+J8)/2</f>
        <v>600.96153846153845</v>
      </c>
      <c r="L8" s="178"/>
      <c r="M8" s="197"/>
      <c r="N8" s="164"/>
      <c r="O8" s="179"/>
      <c r="P8" s="178"/>
      <c r="Q8" s="63"/>
      <c r="R8" s="127"/>
      <c r="S8" s="140">
        <v>3</v>
      </c>
      <c r="T8" s="137">
        <f>'Car. sol'!H31</f>
        <v>30</v>
      </c>
      <c r="U8" s="137">
        <f>'Car. sol'!I31</f>
        <v>70</v>
      </c>
      <c r="V8" s="105">
        <f>'Car. sol'!G41</f>
        <v>30</v>
      </c>
      <c r="W8" s="137">
        <f>'Car. sol'!H41</f>
        <v>70</v>
      </c>
    </row>
    <row r="9" spans="1:25" ht="15.6" x14ac:dyDescent="0.3">
      <c r="A9" s="160" t="s">
        <v>106</v>
      </c>
      <c r="B9" s="165">
        <f>$W$5</f>
        <v>60</v>
      </c>
      <c r="C9" s="166">
        <f>$V$5</f>
        <v>30</v>
      </c>
      <c r="D9" s="166">
        <f t="shared" si="0"/>
        <v>135000</v>
      </c>
      <c r="E9" s="166">
        <f>'Carichi unitari'!$M$4</f>
        <v>3.2</v>
      </c>
      <c r="F9" s="167">
        <f t="shared" si="1"/>
        <v>421.875</v>
      </c>
      <c r="G9" s="167"/>
      <c r="H9" s="239">
        <f>12*'Carichi unitari'!$P$4*F9/E9^2/1000000/(1+0.5*(F9/G10+F9/G11))</f>
        <v>9.6071067965376287</v>
      </c>
      <c r="I9" s="165">
        <f>'Carichi unitari'!$M$4</f>
        <v>3.2</v>
      </c>
      <c r="J9" s="167">
        <f t="shared" si="2"/>
        <v>421.875</v>
      </c>
      <c r="K9" s="167"/>
      <c r="L9" s="168">
        <f>12*'Carichi unitari'!$P$4*J9/I9^2/1000000/(1+0.5*(J9/K10+J9/K11))</f>
        <v>9.149894310920974</v>
      </c>
      <c r="M9" s="195">
        <v>1</v>
      </c>
      <c r="N9" s="169"/>
      <c r="O9" s="170">
        <v>1</v>
      </c>
      <c r="P9" s="168"/>
      <c r="Q9" s="62"/>
      <c r="R9" s="127"/>
      <c r="S9" s="140">
        <v>2</v>
      </c>
      <c r="T9" s="137">
        <f>'Car. sol'!H32</f>
        <v>30</v>
      </c>
      <c r="U9" s="137">
        <f>'Car. sol'!I32</f>
        <v>70</v>
      </c>
      <c r="V9" s="105">
        <f>'Car. sol'!G42</f>
        <v>30</v>
      </c>
      <c r="W9" s="137">
        <f>'Car. sol'!H42</f>
        <v>80</v>
      </c>
    </row>
    <row r="10" spans="1:25" ht="15.6" x14ac:dyDescent="0.3">
      <c r="A10" s="161" t="s">
        <v>107</v>
      </c>
      <c r="B10" s="171">
        <f>$T$5</f>
        <v>30</v>
      </c>
      <c r="C10" s="50">
        <f>$U$5</f>
        <v>50</v>
      </c>
      <c r="D10" s="50">
        <f t="shared" si="0"/>
        <v>312500</v>
      </c>
      <c r="E10" s="99">
        <v>4.5999999999999996</v>
      </c>
      <c r="F10" s="172">
        <f t="shared" si="1"/>
        <v>679.34782608695662</v>
      </c>
      <c r="G10" s="172">
        <f>(F10+F10)/2</f>
        <v>679.34782608695662</v>
      </c>
      <c r="H10" s="250">
        <f>H9/$H$6</f>
        <v>0.53732264034546562</v>
      </c>
      <c r="I10" s="184">
        <v>5.2</v>
      </c>
      <c r="J10" s="172">
        <f t="shared" si="2"/>
        <v>600.96153846153845</v>
      </c>
      <c r="K10" s="172">
        <f>(J10+J10)/2</f>
        <v>600.96153846153845</v>
      </c>
      <c r="L10" s="248">
        <f>L9/L6</f>
        <v>0.55934195064629855</v>
      </c>
      <c r="M10" s="196"/>
      <c r="N10" s="154"/>
      <c r="O10" s="171"/>
      <c r="P10" s="173"/>
      <c r="Q10" s="63"/>
      <c r="R10" s="127"/>
      <c r="S10" s="140">
        <v>1</v>
      </c>
      <c r="T10" s="137">
        <f>'Car. sol'!H33</f>
        <v>30</v>
      </c>
      <c r="U10" s="137">
        <f>'Car. sol'!I33</f>
        <v>70</v>
      </c>
      <c r="V10" s="105">
        <f>'Car. sol'!G43</f>
        <v>30</v>
      </c>
      <c r="W10" s="137">
        <f>'Car. sol'!H43</f>
        <v>80</v>
      </c>
    </row>
    <row r="11" spans="1:25" ht="16.2" thickBot="1" x14ac:dyDescent="0.35">
      <c r="A11" s="162" t="s">
        <v>108</v>
      </c>
      <c r="B11" s="180">
        <f>$T$6</f>
        <v>30</v>
      </c>
      <c r="C11" s="48">
        <f>$U$6</f>
        <v>50</v>
      </c>
      <c r="D11" s="48">
        <f t="shared" si="0"/>
        <v>312500</v>
      </c>
      <c r="E11" s="181">
        <v>4.5999999999999996</v>
      </c>
      <c r="F11" s="182">
        <f t="shared" si="1"/>
        <v>679.34782608695662</v>
      </c>
      <c r="G11" s="182">
        <f>(F11+F11)/2</f>
        <v>679.34782608695662</v>
      </c>
      <c r="H11" s="211"/>
      <c r="I11" s="185">
        <v>5.2</v>
      </c>
      <c r="J11" s="182">
        <f t="shared" si="2"/>
        <v>600.96153846153845</v>
      </c>
      <c r="K11" s="182">
        <f>(J11+J11)/2</f>
        <v>600.96153846153845</v>
      </c>
      <c r="L11" s="183"/>
      <c r="M11" s="202"/>
      <c r="N11" s="155"/>
      <c r="O11" s="180"/>
      <c r="P11" s="183"/>
      <c r="Q11" s="63"/>
      <c r="R11" s="127"/>
    </row>
    <row r="12" spans="1:25" ht="21" customHeight="1" thickBot="1" x14ac:dyDescent="0.35">
      <c r="B12" s="740" t="s">
        <v>168</v>
      </c>
      <c r="C12" s="731"/>
      <c r="D12" s="731"/>
      <c r="E12" s="731"/>
      <c r="F12" s="731"/>
      <c r="G12" s="731"/>
      <c r="H12" s="731"/>
      <c r="I12" s="730"/>
      <c r="J12" s="730"/>
      <c r="K12" s="730"/>
      <c r="L12" s="730"/>
      <c r="M12" s="731"/>
      <c r="N12" s="731"/>
      <c r="O12" s="731"/>
      <c r="P12" s="732"/>
      <c r="Q12" s="151"/>
      <c r="R12" s="467"/>
      <c r="S12" s="205"/>
      <c r="T12" s="205"/>
      <c r="U12" s="127"/>
    </row>
    <row r="13" spans="1:25" ht="16.2" customHeight="1" x14ac:dyDescent="0.3">
      <c r="A13" s="160" t="s">
        <v>106</v>
      </c>
      <c r="B13" s="165">
        <f>$V$5</f>
        <v>30</v>
      </c>
      <c r="C13" s="209">
        <f>$W$5</f>
        <v>60</v>
      </c>
      <c r="D13" s="166">
        <f t="shared" ref="D13:D18" si="3">B13*C13^3/12</f>
        <v>540000</v>
      </c>
      <c r="E13" s="166">
        <f>'Carichi unitari'!$M$4</f>
        <v>3.2</v>
      </c>
      <c r="F13" s="167">
        <f t="shared" ref="F13:F18" si="4">D13/(100*E13)</f>
        <v>1687.5</v>
      </c>
      <c r="G13" s="166"/>
      <c r="H13" s="239">
        <f>12*'Carichi unitari'!$P$4*F13/E13^2/1000000/(1+0.5*(F13/G14+F13/G15))</f>
        <v>5.0932210156499513</v>
      </c>
      <c r="I13" s="165">
        <f>'Carichi unitari'!$M$4</f>
        <v>3.2</v>
      </c>
      <c r="J13" s="167">
        <f t="shared" ref="J13:J18" si="5">D13/(100*I13)</f>
        <v>1687.5</v>
      </c>
      <c r="K13" s="167"/>
      <c r="L13" s="168">
        <f>12*'Carichi unitari'!$P$4*J13/I13^2/1000000/(1+0.5*(J13/K14+J13/K15))</f>
        <v>4.5484526525955502</v>
      </c>
      <c r="M13" s="195">
        <v>1</v>
      </c>
      <c r="N13" s="168"/>
      <c r="O13" s="170">
        <v>0</v>
      </c>
      <c r="P13" s="168"/>
      <c r="Q13" s="151"/>
      <c r="R13" s="151"/>
      <c r="S13" s="151"/>
      <c r="T13" s="127"/>
      <c r="U13" s="127"/>
    </row>
    <row r="14" spans="1:25" ht="16.2" customHeight="1" x14ac:dyDescent="0.3">
      <c r="A14" s="161" t="s">
        <v>107</v>
      </c>
      <c r="B14" s="171">
        <f>$X$6</f>
        <v>60</v>
      </c>
      <c r="C14" s="210">
        <f>$Y$6</f>
        <v>24</v>
      </c>
      <c r="D14" s="50">
        <f t="shared" si="3"/>
        <v>69120</v>
      </c>
      <c r="E14" s="99">
        <v>4.5999999999999996</v>
      </c>
      <c r="F14" s="172">
        <f t="shared" si="4"/>
        <v>150.2608695652174</v>
      </c>
      <c r="G14" s="172">
        <f>(F14+F14)/2</f>
        <v>150.2608695652174</v>
      </c>
      <c r="H14" s="250">
        <f>H13/$H$6</f>
        <v>0.28486234429894597</v>
      </c>
      <c r="I14" s="184">
        <v>5.2</v>
      </c>
      <c r="J14" s="172">
        <f t="shared" si="5"/>
        <v>132.92307692307693</v>
      </c>
      <c r="K14" s="172">
        <f>(J14+J14)/2</f>
        <v>132.92307692307693</v>
      </c>
      <c r="L14" s="248">
        <f>L13/L6</f>
        <v>0.27805134055904168</v>
      </c>
      <c r="M14" s="196"/>
      <c r="N14" s="154"/>
      <c r="O14" s="174"/>
      <c r="P14" s="173"/>
      <c r="Q14" s="151"/>
      <c r="R14" s="151"/>
      <c r="S14" s="151"/>
      <c r="T14" s="598"/>
      <c r="U14" s="598"/>
    </row>
    <row r="15" spans="1:25" ht="16.2" customHeight="1" thickBot="1" x14ac:dyDescent="0.35">
      <c r="A15" s="163" t="s">
        <v>108</v>
      </c>
      <c r="B15" s="171">
        <f>$X$6</f>
        <v>60</v>
      </c>
      <c r="C15" s="210">
        <f>$Y$6</f>
        <v>24</v>
      </c>
      <c r="D15" s="48">
        <f t="shared" si="3"/>
        <v>69120</v>
      </c>
      <c r="E15" s="181">
        <v>4.5999999999999996</v>
      </c>
      <c r="F15" s="182">
        <f t="shared" si="4"/>
        <v>150.2608695652174</v>
      </c>
      <c r="G15" s="182">
        <f>(F15+F15)/2</f>
        <v>150.2608695652174</v>
      </c>
      <c r="H15" s="211"/>
      <c r="I15" s="241">
        <v>5.2</v>
      </c>
      <c r="J15" s="177">
        <f t="shared" si="5"/>
        <v>132.92307692307693</v>
      </c>
      <c r="K15" s="177">
        <f>(J15+J15)/2</f>
        <v>132.92307692307693</v>
      </c>
      <c r="L15" s="178"/>
      <c r="M15" s="202"/>
      <c r="N15" s="155"/>
      <c r="O15" s="186"/>
      <c r="P15" s="183"/>
      <c r="Q15" s="151"/>
      <c r="R15" s="151"/>
      <c r="S15" s="151"/>
      <c r="T15" s="598"/>
      <c r="U15" s="598"/>
    </row>
    <row r="16" spans="1:25" ht="15.6" x14ac:dyDescent="0.3">
      <c r="A16" s="160" t="s">
        <v>106</v>
      </c>
      <c r="B16" s="165">
        <f>W5</f>
        <v>60</v>
      </c>
      <c r="C16" s="209">
        <f>V5</f>
        <v>30</v>
      </c>
      <c r="D16" s="166">
        <f t="shared" si="3"/>
        <v>135000</v>
      </c>
      <c r="E16" s="166">
        <f>'Carichi unitari'!$M$4</f>
        <v>3.2</v>
      </c>
      <c r="F16" s="166">
        <f t="shared" si="4"/>
        <v>421.875</v>
      </c>
      <c r="G16" s="166"/>
      <c r="H16" s="239">
        <f>12*'Carichi unitari'!$P$4*F16/E16^2/1000000/(1+0.5*(F16/G17+F16/G18))</f>
        <v>4.0899910233393175</v>
      </c>
      <c r="I16" s="165">
        <f>'Carichi unitari'!$M$4</f>
        <v>3.2</v>
      </c>
      <c r="J16" s="167">
        <f t="shared" si="5"/>
        <v>421.875</v>
      </c>
      <c r="K16" s="166"/>
      <c r="L16" s="168">
        <f>12*'Carichi unitari'!$P$4*J16/I16^2/1000000/(1+0.5*(J16/K17+J16/K18))</f>
        <v>3.7311359382311644</v>
      </c>
      <c r="M16" s="195">
        <v>1</v>
      </c>
      <c r="N16" s="169"/>
      <c r="O16" s="165">
        <v>0</v>
      </c>
      <c r="P16" s="168"/>
      <c r="Q16" s="62"/>
      <c r="R16" s="152"/>
      <c r="S16" s="62"/>
      <c r="T16" s="253"/>
      <c r="U16" s="253"/>
    </row>
    <row r="17" spans="1:28" ht="15.6" x14ac:dyDescent="0.3">
      <c r="A17" s="161" t="s">
        <v>107</v>
      </c>
      <c r="B17" s="171">
        <f>$X$6</f>
        <v>60</v>
      </c>
      <c r="C17" s="210">
        <f>$Y$6</f>
        <v>24</v>
      </c>
      <c r="D17" s="50">
        <f t="shared" si="3"/>
        <v>69120</v>
      </c>
      <c r="E17" s="99">
        <v>4.5999999999999996</v>
      </c>
      <c r="F17" s="50">
        <f t="shared" si="4"/>
        <v>150.2608695652174</v>
      </c>
      <c r="G17" s="172">
        <f>(F17+F17)/2</f>
        <v>150.2608695652174</v>
      </c>
      <c r="H17" s="250">
        <f>H16/$H$6</f>
        <v>0.22875198768915106</v>
      </c>
      <c r="I17" s="184">
        <v>5.2</v>
      </c>
      <c r="J17" s="172">
        <f t="shared" si="5"/>
        <v>132.92307692307693</v>
      </c>
      <c r="K17" s="172">
        <f>(J17+J17)/2</f>
        <v>132.92307692307693</v>
      </c>
      <c r="L17" s="248">
        <f>L16/L6</f>
        <v>0.22808797379503976</v>
      </c>
      <c r="M17" s="242"/>
      <c r="N17" s="154"/>
      <c r="O17" s="171"/>
      <c r="P17" s="173"/>
      <c r="Q17" s="63"/>
      <c r="R17" s="152"/>
      <c r="S17" s="63"/>
      <c r="T17" s="223"/>
      <c r="U17" s="223"/>
    </row>
    <row r="18" spans="1:28" ht="16.2" thickBot="1" x14ac:dyDescent="0.35">
      <c r="A18" s="162" t="s">
        <v>108</v>
      </c>
      <c r="B18" s="171">
        <f>$X$6</f>
        <v>60</v>
      </c>
      <c r="C18" s="210">
        <f>$Y$6</f>
        <v>24</v>
      </c>
      <c r="D18" s="48">
        <f t="shared" si="3"/>
        <v>69120</v>
      </c>
      <c r="E18" s="181">
        <v>4.5999999999999996</v>
      </c>
      <c r="F18" s="48">
        <f t="shared" si="4"/>
        <v>150.2608695652174</v>
      </c>
      <c r="G18" s="182">
        <f>(F18+F18)/2</f>
        <v>150.2608695652174</v>
      </c>
      <c r="H18" s="211"/>
      <c r="I18" s="185">
        <v>5.2</v>
      </c>
      <c r="J18" s="182">
        <f t="shared" si="5"/>
        <v>132.92307692307693</v>
      </c>
      <c r="K18" s="182">
        <f>(J18+J18)/2</f>
        <v>132.92307692307693</v>
      </c>
      <c r="L18" s="183"/>
      <c r="M18" s="243"/>
      <c r="N18" s="155"/>
      <c r="O18" s="180"/>
      <c r="P18" s="183"/>
      <c r="Q18" s="63"/>
      <c r="R18" s="152"/>
      <c r="S18" s="63"/>
      <c r="T18" s="223"/>
      <c r="U18" s="223"/>
    </row>
    <row r="19" spans="1:28" ht="22.2" customHeight="1" thickBot="1" x14ac:dyDescent="0.35">
      <c r="B19" s="738" t="s">
        <v>171</v>
      </c>
      <c r="C19" s="735"/>
      <c r="D19" s="735"/>
      <c r="E19" s="735"/>
      <c r="F19" s="735"/>
      <c r="G19" s="735"/>
      <c r="H19" s="735"/>
      <c r="I19" s="734"/>
      <c r="J19" s="734"/>
      <c r="K19" s="734"/>
      <c r="L19" s="734"/>
      <c r="M19" s="735"/>
      <c r="N19" s="735"/>
      <c r="O19" s="735"/>
      <c r="P19" s="736"/>
      <c r="Q19" s="62"/>
      <c r="R19" s="39"/>
      <c r="S19" s="39"/>
      <c r="T19" s="252"/>
      <c r="U19" s="252"/>
      <c r="AA19" s="206"/>
      <c r="AB19" s="205"/>
    </row>
    <row r="20" spans="1:28" ht="15.6" x14ac:dyDescent="0.3">
      <c r="A20" s="160" t="s">
        <v>106</v>
      </c>
      <c r="B20" s="165">
        <f>$V$5</f>
        <v>30</v>
      </c>
      <c r="C20" s="166">
        <f>$W$5</f>
        <v>60</v>
      </c>
      <c r="D20" s="166">
        <f t="shared" ref="D20:D25" si="6">B20*C20^3/12</f>
        <v>540000</v>
      </c>
      <c r="E20" s="166">
        <f>'Carichi unitari'!$M$4</f>
        <v>3.2</v>
      </c>
      <c r="F20" s="167">
        <f t="shared" ref="F20:F25" si="7">D20/(100*E20)</f>
        <v>1687.5</v>
      </c>
      <c r="G20" s="166"/>
      <c r="H20" s="239">
        <f>12*'Carichi unitari'!$P$4*F20/E20^2/1000000/(1+0.5*(F20/G21+F20/G22))</f>
        <v>10.43774806782004</v>
      </c>
      <c r="I20" s="165">
        <f>'Carichi unitari'!$M$4</f>
        <v>3.2</v>
      </c>
      <c r="J20" s="167">
        <f>D20/(100*I20)</f>
        <v>1687.5</v>
      </c>
      <c r="K20" s="167"/>
      <c r="L20" s="168">
        <f>12*'Carichi unitari'!$P$4*J20/I20^2/1000000/(1+0.5*(J20/K21+J20/K22))</f>
        <v>9.4154293332451608</v>
      </c>
      <c r="M20" s="195">
        <v>6</v>
      </c>
      <c r="N20" s="169"/>
      <c r="O20" s="170">
        <v>0</v>
      </c>
      <c r="P20" s="168"/>
      <c r="Q20" s="63"/>
      <c r="R20" s="39"/>
      <c r="S20" s="39"/>
      <c r="T20" s="252"/>
      <c r="U20" s="252"/>
      <c r="AA20" s="39"/>
      <c r="AB20" s="39"/>
    </row>
    <row r="21" spans="1:28" ht="15.6" x14ac:dyDescent="0.3">
      <c r="A21" s="161" t="s">
        <v>107</v>
      </c>
      <c r="B21" s="171">
        <f>$T$5</f>
        <v>30</v>
      </c>
      <c r="C21" s="50">
        <f>$U$5</f>
        <v>50</v>
      </c>
      <c r="D21" s="50">
        <f t="shared" si="6"/>
        <v>312500</v>
      </c>
      <c r="E21" s="99">
        <v>4.5999999999999996</v>
      </c>
      <c r="F21" s="172">
        <f t="shared" si="7"/>
        <v>679.34782608695662</v>
      </c>
      <c r="G21" s="172">
        <f>(F21)/2</f>
        <v>339.67391304347831</v>
      </c>
      <c r="H21" s="250">
        <f>H20/$H$6</f>
        <v>0.58378016085790885</v>
      </c>
      <c r="I21" s="184">
        <v>5.2</v>
      </c>
      <c r="J21" s="172">
        <f t="shared" ref="J21:J43" si="8">D21/(100*I21)</f>
        <v>600.96153846153845</v>
      </c>
      <c r="K21" s="172">
        <f>(J21)/2</f>
        <v>300.48076923076923</v>
      </c>
      <c r="L21" s="248">
        <f>L20/L6</f>
        <v>0.57557436517533245</v>
      </c>
      <c r="M21" s="196"/>
      <c r="N21" s="154"/>
      <c r="O21" s="174"/>
      <c r="P21" s="173"/>
      <c r="Q21" s="63"/>
      <c r="R21" s="39"/>
      <c r="S21" s="39"/>
      <c r="T21" s="252"/>
      <c r="U21" s="252"/>
      <c r="AA21" s="39"/>
      <c r="AB21" s="39"/>
    </row>
    <row r="22" spans="1:28" ht="16.2" thickBot="1" x14ac:dyDescent="0.35">
      <c r="A22" s="163" t="s">
        <v>108</v>
      </c>
      <c r="B22" s="175">
        <f>$T$6</f>
        <v>30</v>
      </c>
      <c r="C22" s="176">
        <f>$U$6</f>
        <v>50</v>
      </c>
      <c r="D22" s="176">
        <f t="shared" si="6"/>
        <v>312500</v>
      </c>
      <c r="E22" s="149">
        <v>4.5999999999999996</v>
      </c>
      <c r="F22" s="177">
        <f t="shared" si="7"/>
        <v>679.34782608695662</v>
      </c>
      <c r="G22" s="177">
        <f>(F22)/2</f>
        <v>339.67391304347831</v>
      </c>
      <c r="H22" s="240"/>
      <c r="I22" s="185">
        <v>5.2</v>
      </c>
      <c r="J22" s="182">
        <f t="shared" si="8"/>
        <v>600.96153846153845</v>
      </c>
      <c r="K22" s="182">
        <f>(J22)/2</f>
        <v>300.48076923076923</v>
      </c>
      <c r="L22" s="183"/>
      <c r="M22" s="202"/>
      <c r="N22" s="155"/>
      <c r="O22" s="186"/>
      <c r="P22" s="183"/>
      <c r="R22" s="127"/>
      <c r="S22" s="127"/>
      <c r="T22" s="253"/>
      <c r="U22" s="223"/>
      <c r="AA22" s="127"/>
      <c r="AB22" s="127"/>
    </row>
    <row r="23" spans="1:28" ht="15.6" x14ac:dyDescent="0.3">
      <c r="A23" s="160" t="s">
        <v>106</v>
      </c>
      <c r="B23" s="165">
        <f>$W$5</f>
        <v>60</v>
      </c>
      <c r="C23" s="166">
        <f>$V$5</f>
        <v>30</v>
      </c>
      <c r="D23" s="166">
        <f t="shared" si="6"/>
        <v>135000</v>
      </c>
      <c r="E23" s="166">
        <f>'Carichi unitari'!$M$4</f>
        <v>3.2</v>
      </c>
      <c r="F23" s="167">
        <f t="shared" si="7"/>
        <v>421.875</v>
      </c>
      <c r="G23" s="167"/>
      <c r="H23" s="239">
        <f>12*'Carichi unitari'!$P$4*F23/E23^2/1000000/(1+0.5*(F23/G24+F23/G25))</f>
        <v>6.9460839059712294</v>
      </c>
      <c r="I23" s="198">
        <f>'Carichi unitari'!$M$4</f>
        <v>3.2</v>
      </c>
      <c r="J23" s="200">
        <f t="shared" si="8"/>
        <v>421.875</v>
      </c>
      <c r="K23" s="200"/>
      <c r="L23" s="201">
        <f>12*'Carichi unitari'!$P$4*J23/I23^2/1000000/(1+0.5*(J23/K24+J23/K25))</f>
        <v>6.4780033765339002</v>
      </c>
      <c r="M23" s="195">
        <v>2</v>
      </c>
      <c r="N23" s="169"/>
      <c r="O23" s="170">
        <v>12</v>
      </c>
      <c r="P23" s="168"/>
    </row>
    <row r="24" spans="1:28" ht="15.6" x14ac:dyDescent="0.3">
      <c r="A24" s="161" t="s">
        <v>107</v>
      </c>
      <c r="B24" s="171">
        <f>$T$5</f>
        <v>30</v>
      </c>
      <c r="C24" s="50">
        <f>$U$5</f>
        <v>50</v>
      </c>
      <c r="D24" s="50">
        <f t="shared" si="6"/>
        <v>312500</v>
      </c>
      <c r="E24" s="99">
        <v>4.5999999999999996</v>
      </c>
      <c r="F24" s="172">
        <f t="shared" si="7"/>
        <v>679.34782608695662</v>
      </c>
      <c r="G24" s="172">
        <f>(F24)/2</f>
        <v>339.67391304347831</v>
      </c>
      <c r="H24" s="250">
        <f>H23/$H$6</f>
        <v>0.38849241748438884</v>
      </c>
      <c r="I24" s="184">
        <v>5.2</v>
      </c>
      <c r="J24" s="172">
        <f t="shared" si="8"/>
        <v>600.96153846153845</v>
      </c>
      <c r="K24" s="172">
        <f>(J24)/2</f>
        <v>300.48076923076923</v>
      </c>
      <c r="L24" s="248">
        <f>L23/L6</f>
        <v>0.39600665557404324</v>
      </c>
      <c r="M24" s="196"/>
      <c r="N24" s="154"/>
      <c r="O24" s="171"/>
      <c r="P24" s="173"/>
    </row>
    <row r="25" spans="1:28" ht="16.2" thickBot="1" x14ac:dyDescent="0.35">
      <c r="A25" s="162" t="s">
        <v>108</v>
      </c>
      <c r="B25" s="180">
        <f>$T$6</f>
        <v>30</v>
      </c>
      <c r="C25" s="48">
        <f>$U$6</f>
        <v>50</v>
      </c>
      <c r="D25" s="48">
        <f t="shared" si="6"/>
        <v>312500</v>
      </c>
      <c r="E25" s="181">
        <v>4.5999999999999996</v>
      </c>
      <c r="F25" s="182">
        <f t="shared" si="7"/>
        <v>679.34782608695662</v>
      </c>
      <c r="G25" s="182">
        <f>(F25)/2</f>
        <v>339.67391304347831</v>
      </c>
      <c r="H25" s="211"/>
      <c r="I25" s="185">
        <v>5.2</v>
      </c>
      <c r="J25" s="182">
        <f t="shared" si="8"/>
        <v>600.96153846153845</v>
      </c>
      <c r="K25" s="182">
        <f>(J25)/2</f>
        <v>300.48076923076923</v>
      </c>
      <c r="L25" s="183"/>
      <c r="M25" s="202"/>
      <c r="N25" s="155"/>
      <c r="O25" s="180"/>
      <c r="P25" s="183"/>
    </row>
    <row r="26" spans="1:28" ht="20.399999999999999" customHeight="1" thickBot="1" x14ac:dyDescent="0.35">
      <c r="B26" s="739" t="s">
        <v>172</v>
      </c>
      <c r="C26" s="727"/>
      <c r="D26" s="727"/>
      <c r="E26" s="727"/>
      <c r="F26" s="727"/>
      <c r="G26" s="727"/>
      <c r="H26" s="727"/>
      <c r="I26" s="734"/>
      <c r="J26" s="734"/>
      <c r="K26" s="734"/>
      <c r="L26" s="734"/>
      <c r="M26" s="727"/>
      <c r="N26" s="727"/>
      <c r="O26" s="727"/>
      <c r="P26" s="728"/>
    </row>
    <row r="27" spans="1:28" ht="15.6" x14ac:dyDescent="0.3">
      <c r="A27" s="160" t="s">
        <v>106</v>
      </c>
      <c r="B27" s="165">
        <f>$V$5</f>
        <v>30</v>
      </c>
      <c r="C27" s="166">
        <f>$W$5</f>
        <v>60</v>
      </c>
      <c r="D27" s="166">
        <f t="shared" ref="D27:D32" si="9">B27*C27^3/12</f>
        <v>540000</v>
      </c>
      <c r="E27" s="166">
        <f>'Carichi unitari'!$M$4</f>
        <v>3.2</v>
      </c>
      <c r="F27" s="167">
        <f t="shared" ref="F27:F32" si="10">D27/(100*E27)</f>
        <v>1687.5</v>
      </c>
      <c r="G27" s="166"/>
      <c r="H27" s="239">
        <f>12*'Carichi unitari'!$P$4*F27/E27^2/1000000/(1+0.5*(F27/G28+F27/G29))</f>
        <v>2.6551573426573425</v>
      </c>
      <c r="I27" s="165">
        <f>'Carichi unitari'!$M$4</f>
        <v>3.2</v>
      </c>
      <c r="J27" s="167">
        <f t="shared" si="8"/>
        <v>1687.5</v>
      </c>
      <c r="K27" s="167"/>
      <c r="L27" s="168">
        <f>12*'Carichi unitari'!$P$4*J27/I27^2/1000000/(1+0.5*(J27/K28+J27/K29))</f>
        <v>2.3604018650088809</v>
      </c>
      <c r="M27" s="195">
        <v>0</v>
      </c>
      <c r="N27" s="169"/>
      <c r="O27" s="170">
        <v>0</v>
      </c>
      <c r="P27" s="168"/>
    </row>
    <row r="28" spans="1:28" ht="15.6" x14ac:dyDescent="0.3">
      <c r="A28" s="161" t="s">
        <v>107</v>
      </c>
      <c r="B28" s="171">
        <f>$X$6</f>
        <v>60</v>
      </c>
      <c r="C28" s="210">
        <f>$Y$6</f>
        <v>24</v>
      </c>
      <c r="D28" s="50">
        <f t="shared" si="9"/>
        <v>69120</v>
      </c>
      <c r="E28" s="99">
        <v>4.5999999999999996</v>
      </c>
      <c r="F28" s="172">
        <f t="shared" si="10"/>
        <v>150.2608695652174</v>
      </c>
      <c r="G28" s="172">
        <f>(F28)/2</f>
        <v>75.130434782608702</v>
      </c>
      <c r="H28" s="250">
        <f>H27/$H$6</f>
        <v>0.1485021645021645</v>
      </c>
      <c r="I28" s="184">
        <v>5.2</v>
      </c>
      <c r="J28" s="172">
        <f t="shared" si="8"/>
        <v>132.92307692307693</v>
      </c>
      <c r="K28" s="172">
        <f>(J28)/2</f>
        <v>66.461538461538467</v>
      </c>
      <c r="L28" s="248">
        <f>L27/L6</f>
        <v>0.14429366489046774</v>
      </c>
      <c r="M28" s="196"/>
      <c r="N28" s="154"/>
      <c r="O28" s="174"/>
      <c r="P28" s="173"/>
    </row>
    <row r="29" spans="1:28" ht="16.2" thickBot="1" x14ac:dyDescent="0.35">
      <c r="A29" s="163" t="s">
        <v>108</v>
      </c>
      <c r="B29" s="171">
        <f>$X$6</f>
        <v>60</v>
      </c>
      <c r="C29" s="210">
        <f>$Y$6</f>
        <v>24</v>
      </c>
      <c r="D29" s="176">
        <f t="shared" si="9"/>
        <v>69120</v>
      </c>
      <c r="E29" s="149">
        <v>4.5999999999999996</v>
      </c>
      <c r="F29" s="177">
        <f t="shared" si="10"/>
        <v>150.2608695652174</v>
      </c>
      <c r="G29" s="177">
        <f>(F29)/2</f>
        <v>75.130434782608702</v>
      </c>
      <c r="H29" s="240"/>
      <c r="I29" s="241">
        <v>5.2</v>
      </c>
      <c r="J29" s="177">
        <f t="shared" si="8"/>
        <v>132.92307692307693</v>
      </c>
      <c r="K29" s="177">
        <f>(J29)/2</f>
        <v>66.461538461538467</v>
      </c>
      <c r="L29" s="178"/>
      <c r="M29" s="202"/>
      <c r="N29" s="155"/>
      <c r="O29" s="186"/>
      <c r="P29" s="183"/>
    </row>
    <row r="30" spans="1:28" ht="15.6" x14ac:dyDescent="0.3">
      <c r="A30" s="160" t="s">
        <v>106</v>
      </c>
      <c r="B30" s="165">
        <f>$W$5</f>
        <v>60</v>
      </c>
      <c r="C30" s="166">
        <f>$V$5</f>
        <v>30</v>
      </c>
      <c r="D30" s="166">
        <f t="shared" si="9"/>
        <v>135000</v>
      </c>
      <c r="E30" s="166">
        <f>'Carichi unitari'!$M$4</f>
        <v>3.2</v>
      </c>
      <c r="F30" s="167">
        <f t="shared" si="10"/>
        <v>421.875</v>
      </c>
      <c r="G30" s="167"/>
      <c r="H30" s="239">
        <f>12*'Carichi unitari'!$P$4*F30/E30^2/1000000/(1+0.5*(F30/G31+F30/G32))</f>
        <v>2.3541297608503098</v>
      </c>
      <c r="I30" s="165">
        <f>'Carichi unitari'!$M$4</f>
        <v>3.2</v>
      </c>
      <c r="J30" s="167">
        <f t="shared" si="8"/>
        <v>421.875</v>
      </c>
      <c r="K30" s="167"/>
      <c r="L30" s="168">
        <f>12*'Carichi unitari'!$P$4*J30/I30^2/1000000/(1+0.5*(J30/K31+J30/K32))</f>
        <v>2.1194677033492821</v>
      </c>
      <c r="M30" s="195">
        <v>2</v>
      </c>
      <c r="N30" s="169"/>
      <c r="O30" s="170">
        <v>0</v>
      </c>
      <c r="P30" s="168"/>
    </row>
    <row r="31" spans="1:28" ht="15.6" x14ac:dyDescent="0.3">
      <c r="A31" s="161" t="s">
        <v>107</v>
      </c>
      <c r="B31" s="171">
        <f>$X$6</f>
        <v>60</v>
      </c>
      <c r="C31" s="210">
        <f>$Y$6</f>
        <v>24</v>
      </c>
      <c r="D31" s="50">
        <f t="shared" si="9"/>
        <v>69120</v>
      </c>
      <c r="E31" s="99">
        <v>4.5999999999999996</v>
      </c>
      <c r="F31" s="172">
        <f t="shared" si="10"/>
        <v>150.2608695652174</v>
      </c>
      <c r="G31" s="172">
        <f>(F31)/2</f>
        <v>75.130434782608702</v>
      </c>
      <c r="H31" s="250">
        <f>H30/$H$6</f>
        <v>0.13166578092707409</v>
      </c>
      <c r="I31" s="184">
        <v>5.2</v>
      </c>
      <c r="J31" s="172">
        <f t="shared" si="8"/>
        <v>132.92307692307693</v>
      </c>
      <c r="K31" s="172">
        <f>(J31)/2</f>
        <v>66.461538461538467</v>
      </c>
      <c r="L31" s="248">
        <f>L30/L6</f>
        <v>0.12956512493354599</v>
      </c>
      <c r="M31" s="196"/>
      <c r="N31" s="154"/>
      <c r="O31" s="171"/>
      <c r="P31" s="173"/>
    </row>
    <row r="32" spans="1:28" ht="16.2" thickBot="1" x14ac:dyDescent="0.35">
      <c r="A32" s="162" t="s">
        <v>108</v>
      </c>
      <c r="B32" s="171">
        <f>$X$6</f>
        <v>60</v>
      </c>
      <c r="C32" s="210">
        <f>$Y$6</f>
        <v>24</v>
      </c>
      <c r="D32" s="48">
        <f t="shared" si="9"/>
        <v>69120</v>
      </c>
      <c r="E32" s="181">
        <v>4.5999999999999996</v>
      </c>
      <c r="F32" s="182">
        <f t="shared" si="10"/>
        <v>150.2608695652174</v>
      </c>
      <c r="G32" s="182">
        <f>(F32)/2</f>
        <v>75.130434782608702</v>
      </c>
      <c r="H32" s="211"/>
      <c r="I32" s="185">
        <v>5.2</v>
      </c>
      <c r="J32" s="182">
        <f t="shared" si="8"/>
        <v>132.92307692307693</v>
      </c>
      <c r="K32" s="182">
        <f>(J32)/2</f>
        <v>66.461538461538467</v>
      </c>
      <c r="L32" s="183"/>
      <c r="M32" s="202"/>
      <c r="N32" s="155"/>
      <c r="O32" s="180"/>
      <c r="P32" s="183"/>
    </row>
    <row r="33" spans="1:16" ht="19.8" customHeight="1" thickBot="1" x14ac:dyDescent="0.35">
      <c r="B33" s="725" t="s">
        <v>173</v>
      </c>
      <c r="C33" s="726"/>
      <c r="D33" s="726"/>
      <c r="E33" s="726"/>
      <c r="F33" s="726"/>
      <c r="G33" s="726"/>
      <c r="H33" s="726"/>
      <c r="I33" s="734"/>
      <c r="J33" s="734"/>
      <c r="K33" s="734"/>
      <c r="L33" s="734"/>
      <c r="M33" s="726"/>
      <c r="N33" s="726"/>
      <c r="O33" s="726"/>
      <c r="P33" s="737"/>
    </row>
    <row r="34" spans="1:16" ht="15.6" x14ac:dyDescent="0.3">
      <c r="A34" s="187" t="s">
        <v>106</v>
      </c>
      <c r="B34" s="165">
        <f>$V$5</f>
        <v>30</v>
      </c>
      <c r="C34" s="166">
        <f>$W$5</f>
        <v>60</v>
      </c>
      <c r="D34" s="166">
        <f>B34*C34^3/12</f>
        <v>540000</v>
      </c>
      <c r="E34" s="166">
        <f>'Carichi unitari'!$M$4</f>
        <v>3.2</v>
      </c>
      <c r="F34" s="167">
        <f>D34/(100*E34)</f>
        <v>1687.5</v>
      </c>
      <c r="G34" s="166"/>
      <c r="H34" s="239">
        <f>12*'Carichi unitari'!$P$4*F34/E34^2/1000000/(1+0.5*(F34/G35+F34/G37))</f>
        <v>13.454445963278644</v>
      </c>
      <c r="I34" s="165">
        <f>'Carichi unitari'!$M$4</f>
        <v>3.2</v>
      </c>
      <c r="J34" s="167">
        <f t="shared" si="8"/>
        <v>1687.5</v>
      </c>
      <c r="K34" s="167"/>
      <c r="L34" s="168">
        <f>12*'Carichi unitari'!$P$4*J34/I34^2/1000000/(1+0.5*(J34/K35+J34/K37))</f>
        <v>12.206209692804494</v>
      </c>
      <c r="M34" s="195">
        <v>0</v>
      </c>
      <c r="N34" s="169"/>
      <c r="O34" s="170">
        <v>1</v>
      </c>
      <c r="P34" s="168"/>
    </row>
    <row r="35" spans="1:16" ht="15.6" x14ac:dyDescent="0.3">
      <c r="A35" s="188" t="s">
        <v>107</v>
      </c>
      <c r="B35" s="171">
        <f>$X$5</f>
        <v>100</v>
      </c>
      <c r="C35" s="50">
        <f>$Y$5</f>
        <v>24</v>
      </c>
      <c r="D35" s="50">
        <f t="shared" ref="D35:D43" si="11">B35*C35^3/12</f>
        <v>115200</v>
      </c>
      <c r="E35" s="99">
        <v>4.5999999999999996</v>
      </c>
      <c r="F35" s="172">
        <f t="shared" ref="F35:F43" si="12">D35/(100*E35)</f>
        <v>250.43478260869568</v>
      </c>
      <c r="G35" s="172">
        <f>(F35+F36)/2</f>
        <v>464.89130434782612</v>
      </c>
      <c r="H35" s="250">
        <f>H34/$H$6</f>
        <v>0.75250318149681839</v>
      </c>
      <c r="I35" s="184">
        <v>5.2</v>
      </c>
      <c r="J35" s="172">
        <f t="shared" si="8"/>
        <v>221.53846153846155</v>
      </c>
      <c r="K35" s="172">
        <f>(J35+J36)/2</f>
        <v>411.25</v>
      </c>
      <c r="L35" s="248">
        <f>L34/L6</f>
        <v>0.74617748659916616</v>
      </c>
      <c r="M35" s="196"/>
      <c r="N35" s="154"/>
      <c r="O35" s="174"/>
      <c r="P35" s="173"/>
    </row>
    <row r="36" spans="1:16" ht="15.6" x14ac:dyDescent="0.3">
      <c r="A36" s="189"/>
      <c r="B36" s="171">
        <f>$T$5</f>
        <v>30</v>
      </c>
      <c r="C36" s="50">
        <f>$U$5</f>
        <v>50</v>
      </c>
      <c r="D36" s="50">
        <f t="shared" si="11"/>
        <v>312500</v>
      </c>
      <c r="E36" s="99">
        <v>4.5999999999999996</v>
      </c>
      <c r="F36" s="172">
        <f t="shared" si="12"/>
        <v>679.34782608695662</v>
      </c>
      <c r="G36" s="172"/>
      <c r="H36" s="210"/>
      <c r="I36" s="184">
        <v>5.2</v>
      </c>
      <c r="J36" s="172">
        <f t="shared" si="8"/>
        <v>600.96153846153845</v>
      </c>
      <c r="K36" s="172"/>
      <c r="L36" s="173"/>
      <c r="M36" s="196"/>
      <c r="N36" s="154"/>
      <c r="O36" s="174"/>
      <c r="P36" s="173"/>
    </row>
    <row r="37" spans="1:16" ht="15.6" x14ac:dyDescent="0.3">
      <c r="A37" s="189" t="s">
        <v>108</v>
      </c>
      <c r="B37" s="171">
        <f>$X$5</f>
        <v>100</v>
      </c>
      <c r="C37" s="50">
        <f>$Y$5</f>
        <v>24</v>
      </c>
      <c r="D37" s="50">
        <f t="shared" si="11"/>
        <v>115200</v>
      </c>
      <c r="E37" s="99">
        <v>4.5999999999999996</v>
      </c>
      <c r="F37" s="172">
        <f t="shared" si="12"/>
        <v>250.43478260869568</v>
      </c>
      <c r="G37" s="172">
        <f>(F37+F38)/2</f>
        <v>464.89130434782612</v>
      </c>
      <c r="H37" s="210"/>
      <c r="I37" s="184">
        <v>5.2</v>
      </c>
      <c r="J37" s="172">
        <f t="shared" si="8"/>
        <v>221.53846153846155</v>
      </c>
      <c r="K37" s="172">
        <f>(J37+J38)/2</f>
        <v>411.25</v>
      </c>
      <c r="L37" s="173"/>
      <c r="M37" s="196"/>
      <c r="N37" s="154"/>
      <c r="O37" s="174"/>
      <c r="P37" s="173"/>
    </row>
    <row r="38" spans="1:16" ht="16.2" thickBot="1" x14ac:dyDescent="0.35">
      <c r="A38" s="190"/>
      <c r="B38" s="180">
        <f>T6</f>
        <v>30</v>
      </c>
      <c r="C38" s="48">
        <f>$U$6</f>
        <v>50</v>
      </c>
      <c r="D38" s="48">
        <f t="shared" si="11"/>
        <v>312500</v>
      </c>
      <c r="E38" s="181">
        <v>4.5999999999999996</v>
      </c>
      <c r="F38" s="182">
        <f t="shared" si="12"/>
        <v>679.34782608695662</v>
      </c>
      <c r="G38" s="182"/>
      <c r="H38" s="211"/>
      <c r="I38" s="241">
        <v>5.2</v>
      </c>
      <c r="J38" s="177">
        <f t="shared" si="8"/>
        <v>600.96153846153845</v>
      </c>
      <c r="K38" s="177"/>
      <c r="L38" s="178"/>
      <c r="M38" s="202"/>
      <c r="N38" s="155"/>
      <c r="O38" s="186"/>
      <c r="P38" s="183"/>
    </row>
    <row r="39" spans="1:16" ht="15.6" x14ac:dyDescent="0.3">
      <c r="A39" s="187" t="s">
        <v>106</v>
      </c>
      <c r="B39" s="165">
        <f>$W$5</f>
        <v>60</v>
      </c>
      <c r="C39" s="166">
        <f>$V$5</f>
        <v>30</v>
      </c>
      <c r="D39" s="166">
        <f t="shared" si="11"/>
        <v>135000</v>
      </c>
      <c r="E39" s="166">
        <f>'Carichi unitari'!$M$4</f>
        <v>3.2</v>
      </c>
      <c r="F39" s="167">
        <f t="shared" si="12"/>
        <v>421.875</v>
      </c>
      <c r="G39" s="167"/>
      <c r="H39" s="239">
        <f>12*'Carichi unitari'!$P$4*F39/E39^2/1000000/(1+0.5*(F39/G40+F39/G42))</f>
        <v>7.7207570028010482</v>
      </c>
      <c r="I39" s="165">
        <f>'Carichi unitari'!$M$4</f>
        <v>3.2</v>
      </c>
      <c r="J39" s="167">
        <f t="shared" si="8"/>
        <v>421.875</v>
      </c>
      <c r="K39" s="167"/>
      <c r="L39" s="168">
        <f>12*'Carichi unitari'!$P$4*J39/I39^2/1000000/(1+0.5*(J39/K40+J39/K42))</f>
        <v>7.2443093959080569</v>
      </c>
      <c r="M39" s="195">
        <v>4</v>
      </c>
      <c r="N39" s="169"/>
      <c r="O39" s="170">
        <v>1</v>
      </c>
      <c r="P39" s="168"/>
    </row>
    <row r="40" spans="1:16" ht="15.6" x14ac:dyDescent="0.3">
      <c r="A40" s="188" t="s">
        <v>107</v>
      </c>
      <c r="B40" s="171">
        <f>$X$6</f>
        <v>60</v>
      </c>
      <c r="C40" s="210">
        <f>$Y$6</f>
        <v>24</v>
      </c>
      <c r="D40" s="50">
        <f t="shared" si="11"/>
        <v>69120</v>
      </c>
      <c r="E40" s="99">
        <v>4.5999999999999996</v>
      </c>
      <c r="F40" s="172">
        <f t="shared" si="12"/>
        <v>150.2608695652174</v>
      </c>
      <c r="G40" s="172">
        <f>(F40+F41)/2</f>
        <v>414.804347826087</v>
      </c>
      <c r="H40" s="250">
        <f>H39/$H$6</f>
        <v>0.43181965456092597</v>
      </c>
      <c r="I40" s="184">
        <v>5.2</v>
      </c>
      <c r="J40" s="172">
        <f t="shared" si="8"/>
        <v>132.92307692307693</v>
      </c>
      <c r="K40" s="172">
        <f>(J40+J41)/2</f>
        <v>366.94230769230768</v>
      </c>
      <c r="L40" s="248">
        <f>L39/L6</f>
        <v>0.44285168887209431</v>
      </c>
      <c r="M40" s="196"/>
      <c r="N40" s="154"/>
      <c r="O40" s="171"/>
      <c r="P40" s="173"/>
    </row>
    <row r="41" spans="1:16" x14ac:dyDescent="0.3">
      <c r="B41" s="171">
        <f>$T$5</f>
        <v>30</v>
      </c>
      <c r="C41" s="50">
        <f>$U$5</f>
        <v>50</v>
      </c>
      <c r="D41" s="50">
        <f t="shared" si="11"/>
        <v>312500</v>
      </c>
      <c r="E41" s="99">
        <v>4.5999999999999996</v>
      </c>
      <c r="F41" s="172">
        <f t="shared" si="12"/>
        <v>679.34782608695662</v>
      </c>
      <c r="G41" s="97"/>
      <c r="H41" s="244"/>
      <c r="I41" s="184">
        <v>5.2</v>
      </c>
      <c r="J41" s="172">
        <f t="shared" si="8"/>
        <v>600.96153846153845</v>
      </c>
      <c r="K41" s="97"/>
      <c r="L41" s="117"/>
      <c r="M41" s="203"/>
      <c r="N41" s="117"/>
      <c r="O41" s="193"/>
      <c r="P41" s="117"/>
    </row>
    <row r="42" spans="1:16" ht="16.2" thickBot="1" x14ac:dyDescent="0.35">
      <c r="A42" s="191" t="s">
        <v>108</v>
      </c>
      <c r="B42" s="171">
        <f>$X$6</f>
        <v>60</v>
      </c>
      <c r="C42" s="210">
        <f>$Y$6</f>
        <v>24</v>
      </c>
      <c r="D42" s="50">
        <f t="shared" si="11"/>
        <v>69120</v>
      </c>
      <c r="E42" s="99">
        <v>4.5999999999999996</v>
      </c>
      <c r="F42" s="172">
        <f t="shared" si="12"/>
        <v>150.2608695652174</v>
      </c>
      <c r="G42" s="172">
        <f>(F42+F43)/2</f>
        <v>414.804347826087</v>
      </c>
      <c r="H42" s="210"/>
      <c r="I42" s="184">
        <v>5.2</v>
      </c>
      <c r="J42" s="172">
        <f t="shared" si="8"/>
        <v>132.92307692307693</v>
      </c>
      <c r="K42" s="172">
        <f>(J42+J43)/2</f>
        <v>366.94230769230768</v>
      </c>
      <c r="L42" s="173"/>
      <c r="M42" s="196"/>
      <c r="N42" s="154"/>
      <c r="O42" s="171"/>
      <c r="P42" s="173"/>
    </row>
    <row r="43" spans="1:16" ht="15" thickBot="1" x14ac:dyDescent="0.35">
      <c r="B43" s="180">
        <f>$T$5</f>
        <v>30</v>
      </c>
      <c r="C43" s="48">
        <f>$U$6</f>
        <v>50</v>
      </c>
      <c r="D43" s="48">
        <f t="shared" si="11"/>
        <v>312500</v>
      </c>
      <c r="E43" s="181">
        <v>4.5999999999999996</v>
      </c>
      <c r="F43" s="182">
        <f t="shared" si="12"/>
        <v>679.34782608695662</v>
      </c>
      <c r="G43" s="36"/>
      <c r="H43" s="245"/>
      <c r="I43" s="185">
        <v>5.2</v>
      </c>
      <c r="J43" s="182">
        <f t="shared" si="8"/>
        <v>600.96153846153845</v>
      </c>
      <c r="K43" s="36"/>
      <c r="L43" s="192"/>
      <c r="M43" s="204"/>
      <c r="N43" s="192"/>
      <c r="O43" s="194"/>
      <c r="P43" s="192"/>
    </row>
    <row r="45" spans="1:16" ht="15" thickBot="1" x14ac:dyDescent="0.35"/>
    <row r="46" spans="1:16" ht="16.2" thickBot="1" x14ac:dyDescent="0.35">
      <c r="A46" s="1"/>
      <c r="B46" s="720" t="s">
        <v>155</v>
      </c>
      <c r="C46" s="721"/>
      <c r="D46" s="721"/>
      <c r="E46" s="721"/>
      <c r="F46" s="721"/>
      <c r="G46" s="721"/>
      <c r="H46" s="722"/>
      <c r="I46" s="212"/>
      <c r="J46" s="212"/>
      <c r="K46" s="212"/>
      <c r="L46" s="212"/>
      <c r="M46" s="723" t="s">
        <v>112</v>
      </c>
      <c r="N46" s="724"/>
      <c r="O46" s="723" t="s">
        <v>162</v>
      </c>
      <c r="P46" s="724"/>
    </row>
    <row r="47" spans="1:16" ht="19.2" thickBot="1" x14ac:dyDescent="0.35">
      <c r="B47" s="156" t="s">
        <v>109</v>
      </c>
      <c r="C47" s="157" t="s">
        <v>110</v>
      </c>
      <c r="D47" s="157" t="s">
        <v>153</v>
      </c>
      <c r="E47" s="157" t="s">
        <v>113</v>
      </c>
      <c r="F47" s="157" t="s">
        <v>164</v>
      </c>
      <c r="G47" s="157"/>
      <c r="H47" s="158" t="s">
        <v>152</v>
      </c>
      <c r="I47" s="157" t="s">
        <v>113</v>
      </c>
      <c r="J47" s="157" t="s">
        <v>164</v>
      </c>
      <c r="K47" s="157"/>
      <c r="L47" s="158" t="s">
        <v>152</v>
      </c>
      <c r="M47" s="156" t="s">
        <v>111</v>
      </c>
      <c r="N47" s="159" t="s">
        <v>170</v>
      </c>
      <c r="O47" s="156" t="s">
        <v>111</v>
      </c>
      <c r="P47" s="159" t="s">
        <v>170</v>
      </c>
    </row>
    <row r="48" spans="1:16" ht="16.2" thickBot="1" x14ac:dyDescent="0.35">
      <c r="B48" s="725" t="s">
        <v>163</v>
      </c>
      <c r="C48" s="726"/>
      <c r="D48" s="726"/>
      <c r="E48" s="726"/>
      <c r="F48" s="726"/>
      <c r="G48" s="726"/>
      <c r="H48" s="726"/>
      <c r="I48" s="726"/>
      <c r="J48" s="726"/>
      <c r="K48" s="726"/>
      <c r="L48" s="726"/>
      <c r="M48" s="727"/>
      <c r="N48" s="727"/>
      <c r="O48" s="727"/>
      <c r="P48" s="728"/>
    </row>
    <row r="49" spans="1:16" ht="15.6" x14ac:dyDescent="0.3">
      <c r="A49" s="187" t="s">
        <v>106</v>
      </c>
      <c r="B49" s="165">
        <f>$V$6</f>
        <v>30</v>
      </c>
      <c r="C49" s="166">
        <f>$W$6</f>
        <v>60</v>
      </c>
      <c r="D49" s="166">
        <f t="shared" ref="D49:D54" si="13">B49*C49^3/12</f>
        <v>540000</v>
      </c>
      <c r="E49" s="166">
        <f>'Carichi unitari'!$M$4</f>
        <v>3.2</v>
      </c>
      <c r="F49" s="167">
        <f t="shared" ref="F49:F54" si="14">D49/(100*E49)</f>
        <v>1687.5</v>
      </c>
      <c r="G49" s="166"/>
      <c r="H49" s="239">
        <f>12*'Carichi unitari'!$P$4*F49/E49^2/1000000/(1+0.5*(F49/G50+F49/G51))</f>
        <v>21.03942597948155</v>
      </c>
      <c r="I49" s="165">
        <f>'Carichi unitari'!$M$4</f>
        <v>3.2</v>
      </c>
      <c r="J49" s="167">
        <f t="shared" ref="J49:J54" si="15">D49/(100*I49)</f>
        <v>1687.5</v>
      </c>
      <c r="K49" s="167"/>
      <c r="L49" s="168">
        <f>12*'Carichi unitari'!$P$4*J49/I49^2/1000000/(1+0.5*(J49/K50+J49/K51))</f>
        <v>19.366541417301409</v>
      </c>
      <c r="M49" s="195">
        <v>7</v>
      </c>
      <c r="N49" s="168">
        <f>H49*M49+H52*M52+H56*M56+H59*M59+H63*M63+H66*M66+H70*M70+H73*M73+H77*M77+H82*M82</f>
        <v>297.38193270505752</v>
      </c>
      <c r="O49" s="170">
        <v>9</v>
      </c>
      <c r="P49" s="168">
        <f>L49*O49+L52*O52+L59*O59+L63*O63+L66*O66+L70*O70+L73*O73+L77*O77+L56*O56+L82*O82</f>
        <v>295.19505484639649</v>
      </c>
    </row>
    <row r="50" spans="1:16" ht="15.6" x14ac:dyDescent="0.3">
      <c r="A50" s="188" t="s">
        <v>107</v>
      </c>
      <c r="B50" s="171">
        <f>$T$6</f>
        <v>30</v>
      </c>
      <c r="C50" s="50">
        <f>$U$6</f>
        <v>50</v>
      </c>
      <c r="D50" s="50">
        <f t="shared" si="13"/>
        <v>312500</v>
      </c>
      <c r="E50" s="99">
        <v>4.5999999999999996</v>
      </c>
      <c r="F50" s="172">
        <f t="shared" si="14"/>
        <v>679.34782608695662</v>
      </c>
      <c r="G50" s="172">
        <f>(F50+F50)/2</f>
        <v>679.34782608695662</v>
      </c>
      <c r="H50" s="249">
        <f>H49/$H$49</f>
        <v>1</v>
      </c>
      <c r="I50" s="184">
        <v>5.2</v>
      </c>
      <c r="J50" s="172">
        <f t="shared" si="15"/>
        <v>600.96153846153845</v>
      </c>
      <c r="K50" s="172">
        <f>(J50+J50)/2</f>
        <v>600.96153846153845</v>
      </c>
      <c r="L50" s="173">
        <f>L49/L49</f>
        <v>1</v>
      </c>
      <c r="M50" s="196"/>
      <c r="N50" s="248">
        <f>N49/H49</f>
        <v>14.134507899363591</v>
      </c>
      <c r="O50" s="174"/>
      <c r="P50" s="248">
        <f>P49/L49</f>
        <v>15.242528259727329</v>
      </c>
    </row>
    <row r="51" spans="1:16" ht="16.2" thickBot="1" x14ac:dyDescent="0.35">
      <c r="A51" s="189" t="s">
        <v>108</v>
      </c>
      <c r="B51" s="180">
        <f>$T$7</f>
        <v>30</v>
      </c>
      <c r="C51" s="48">
        <f>$U$7</f>
        <v>60</v>
      </c>
      <c r="D51" s="48">
        <f t="shared" si="13"/>
        <v>540000</v>
      </c>
      <c r="E51" s="181">
        <v>4.5999999999999996</v>
      </c>
      <c r="F51" s="182">
        <f t="shared" si="14"/>
        <v>1173.913043478261</v>
      </c>
      <c r="G51" s="182">
        <f>(F51+F51)/2</f>
        <v>1173.913043478261</v>
      </c>
      <c r="H51" s="211"/>
      <c r="I51" s="241">
        <v>5.2</v>
      </c>
      <c r="J51" s="177">
        <f t="shared" si="15"/>
        <v>1038.4615384615386</v>
      </c>
      <c r="K51" s="177">
        <f>(J51+J51)/2</f>
        <v>1038.4615384615386</v>
      </c>
      <c r="L51" s="178"/>
      <c r="M51" s="197"/>
      <c r="N51" s="164"/>
      <c r="O51" s="179"/>
      <c r="P51" s="178"/>
    </row>
    <row r="52" spans="1:16" ht="15.6" x14ac:dyDescent="0.3">
      <c r="A52" s="187" t="s">
        <v>106</v>
      </c>
      <c r="B52" s="165">
        <f>$W$6</f>
        <v>60</v>
      </c>
      <c r="C52" s="166">
        <f>$V$6</f>
        <v>30</v>
      </c>
      <c r="D52" s="166">
        <f t="shared" si="13"/>
        <v>135000</v>
      </c>
      <c r="E52" s="166">
        <f>'Carichi unitari'!$M$4</f>
        <v>3.2</v>
      </c>
      <c r="F52" s="167">
        <f t="shared" si="14"/>
        <v>421.875</v>
      </c>
      <c r="G52" s="167"/>
      <c r="H52" s="239">
        <f>12*'Carichi unitari'!$P$4*F52/E52^2/1000000/(1+0.5*(F52/G53+F52/G54))</f>
        <v>10.450443395336157</v>
      </c>
      <c r="I52" s="165">
        <f>'Carichi unitari'!$M$4</f>
        <v>3.2</v>
      </c>
      <c r="J52" s="167">
        <f t="shared" si="15"/>
        <v>421.875</v>
      </c>
      <c r="K52" s="167"/>
      <c r="L52" s="168">
        <f>12*'Carichi unitari'!$P$4*J52/I52^2/1000000/(1+0.5*(J52/K53+J52/K54))</f>
        <v>10.020506791401912</v>
      </c>
      <c r="M52" s="195">
        <v>1</v>
      </c>
      <c r="N52" s="169"/>
      <c r="O52" s="170">
        <v>1</v>
      </c>
      <c r="P52" s="168"/>
    </row>
    <row r="53" spans="1:16" ht="15.6" x14ac:dyDescent="0.3">
      <c r="A53" s="188" t="s">
        <v>107</v>
      </c>
      <c r="B53" s="171">
        <f>$T$6</f>
        <v>30</v>
      </c>
      <c r="C53" s="50">
        <f>$U$6</f>
        <v>50</v>
      </c>
      <c r="D53" s="50">
        <f t="shared" si="13"/>
        <v>312500</v>
      </c>
      <c r="E53" s="99">
        <v>4.5999999999999996</v>
      </c>
      <c r="F53" s="172">
        <f t="shared" si="14"/>
        <v>679.34782608695662</v>
      </c>
      <c r="G53" s="172">
        <f>(F53+F53)/2</f>
        <v>679.34782608695662</v>
      </c>
      <c r="H53" s="250">
        <f>H52/$H$50</f>
        <v>10.450443395336157</v>
      </c>
      <c r="I53" s="184">
        <v>5.2</v>
      </c>
      <c r="J53" s="172">
        <f t="shared" si="15"/>
        <v>600.96153846153845</v>
      </c>
      <c r="K53" s="172">
        <f>(J53+J53)/2</f>
        <v>600.96153846153845</v>
      </c>
      <c r="L53" s="248">
        <f>L52/L49</f>
        <v>0.51741333547816304</v>
      </c>
      <c r="M53" s="196"/>
      <c r="N53" s="154"/>
      <c r="O53" s="171"/>
      <c r="P53" s="173"/>
    </row>
    <row r="54" spans="1:16" ht="16.2" thickBot="1" x14ac:dyDescent="0.35">
      <c r="A54" s="191" t="s">
        <v>108</v>
      </c>
      <c r="B54" s="180">
        <f>$T$7</f>
        <v>30</v>
      </c>
      <c r="C54" s="48">
        <f>$U$7</f>
        <v>60</v>
      </c>
      <c r="D54" s="48">
        <f t="shared" si="13"/>
        <v>540000</v>
      </c>
      <c r="E54" s="181">
        <v>4.5999999999999996</v>
      </c>
      <c r="F54" s="182">
        <f t="shared" si="14"/>
        <v>1173.913043478261</v>
      </c>
      <c r="G54" s="182">
        <f>(F54+F54)/2</f>
        <v>1173.913043478261</v>
      </c>
      <c r="H54" s="211"/>
      <c r="I54" s="185">
        <v>5.2</v>
      </c>
      <c r="J54" s="182">
        <f t="shared" si="15"/>
        <v>1038.4615384615386</v>
      </c>
      <c r="K54" s="182">
        <f>(J54+J54)/2</f>
        <v>1038.4615384615386</v>
      </c>
      <c r="L54" s="183"/>
      <c r="M54" s="202"/>
      <c r="N54" s="155"/>
      <c r="O54" s="180"/>
      <c r="P54" s="183"/>
    </row>
    <row r="55" spans="1:16" ht="16.2" thickBot="1" x14ac:dyDescent="0.35">
      <c r="B55" s="729" t="s">
        <v>168</v>
      </c>
      <c r="C55" s="730"/>
      <c r="D55" s="730"/>
      <c r="E55" s="730"/>
      <c r="F55" s="730"/>
      <c r="G55" s="730"/>
      <c r="H55" s="730"/>
      <c r="I55" s="730"/>
      <c r="J55" s="730"/>
      <c r="K55" s="730"/>
      <c r="L55" s="730"/>
      <c r="M55" s="731"/>
      <c r="N55" s="731"/>
      <c r="O55" s="731"/>
      <c r="P55" s="732"/>
    </row>
    <row r="56" spans="1:16" ht="15.6" x14ac:dyDescent="0.3">
      <c r="A56" s="187" t="s">
        <v>106</v>
      </c>
      <c r="B56" s="165">
        <f>$V$6</f>
        <v>30</v>
      </c>
      <c r="C56" s="166">
        <f>$W$6</f>
        <v>60</v>
      </c>
      <c r="D56" s="166">
        <f t="shared" ref="D56:D61" si="16">B56*C56^3/12</f>
        <v>540000</v>
      </c>
      <c r="E56" s="166">
        <f>'Carichi unitari'!$M$4</f>
        <v>3.2</v>
      </c>
      <c r="F56" s="167">
        <f t="shared" ref="F56:F61" si="17">D56/(100*E56)</f>
        <v>1687.5</v>
      </c>
      <c r="G56" s="166"/>
      <c r="H56" s="239">
        <f>12*'Carichi unitari'!$P$4*F56/E56^2/1000000/(1+0.5*(F56/G57+F56/G58))</f>
        <v>5.0932210156499513</v>
      </c>
      <c r="I56" s="165">
        <f>'Carichi unitari'!$M$4</f>
        <v>3.2</v>
      </c>
      <c r="J56" s="167">
        <f t="shared" ref="J56:J61" si="18">D56/(100*I56)</f>
        <v>1687.5</v>
      </c>
      <c r="K56" s="167"/>
      <c r="L56" s="168">
        <f>12*'Carichi unitari'!$P$4*J56/I56^2/1000000/(1+0.5*(J56/K57+J56/K58))</f>
        <v>4.5484526525955502</v>
      </c>
      <c r="M56" s="195">
        <v>1</v>
      </c>
      <c r="N56" s="168"/>
      <c r="O56" s="170">
        <v>0</v>
      </c>
      <c r="P56" s="168"/>
    </row>
    <row r="57" spans="1:16" ht="15.6" x14ac:dyDescent="0.3">
      <c r="A57" s="188" t="s">
        <v>107</v>
      </c>
      <c r="B57" s="171">
        <f>$X$6</f>
        <v>60</v>
      </c>
      <c r="C57" s="210">
        <f>$Y$6</f>
        <v>24</v>
      </c>
      <c r="D57" s="50">
        <f t="shared" si="16"/>
        <v>69120</v>
      </c>
      <c r="E57" s="99">
        <v>4.5999999999999996</v>
      </c>
      <c r="F57" s="172">
        <f t="shared" si="17"/>
        <v>150.2608695652174</v>
      </c>
      <c r="G57" s="172">
        <f>(F57+F57)/2</f>
        <v>150.2608695652174</v>
      </c>
      <c r="H57" s="210"/>
      <c r="I57" s="184">
        <v>5.2</v>
      </c>
      <c r="J57" s="172">
        <f t="shared" si="18"/>
        <v>132.92307692307693</v>
      </c>
      <c r="K57" s="172">
        <f>(J57+J57)/2</f>
        <v>132.92307692307693</v>
      </c>
      <c r="L57" s="248">
        <f>L56/L49</f>
        <v>0.23486138049058761</v>
      </c>
      <c r="M57" s="196"/>
      <c r="N57" s="154"/>
      <c r="O57" s="174"/>
      <c r="P57" s="173"/>
    </row>
    <row r="58" spans="1:16" ht="16.2" thickBot="1" x14ac:dyDescent="0.35">
      <c r="A58" s="189" t="s">
        <v>108</v>
      </c>
      <c r="B58" s="171">
        <f>$X$6</f>
        <v>60</v>
      </c>
      <c r="C58" s="210">
        <f>$Y$6</f>
        <v>24</v>
      </c>
      <c r="D58" s="48">
        <f t="shared" si="16"/>
        <v>69120</v>
      </c>
      <c r="E58" s="181">
        <v>4.5999999999999996</v>
      </c>
      <c r="F58" s="182">
        <f t="shared" si="17"/>
        <v>150.2608695652174</v>
      </c>
      <c r="G58" s="182">
        <f>(F58+F58)/2</f>
        <v>150.2608695652174</v>
      </c>
      <c r="H58" s="211"/>
      <c r="I58" s="241">
        <v>5.2</v>
      </c>
      <c r="J58" s="177">
        <f t="shared" si="18"/>
        <v>132.92307692307693</v>
      </c>
      <c r="K58" s="177">
        <f>(J58+J58)/2</f>
        <v>132.92307692307693</v>
      </c>
      <c r="L58" s="178"/>
      <c r="M58" s="202"/>
      <c r="N58" s="155"/>
      <c r="O58" s="186"/>
      <c r="P58" s="183"/>
    </row>
    <row r="59" spans="1:16" ht="15.6" x14ac:dyDescent="0.3">
      <c r="A59" s="187" t="s">
        <v>106</v>
      </c>
      <c r="B59" s="165">
        <f>$W$6</f>
        <v>60</v>
      </c>
      <c r="C59" s="166">
        <f>$V$6</f>
        <v>30</v>
      </c>
      <c r="D59" s="166">
        <f t="shared" si="16"/>
        <v>135000</v>
      </c>
      <c r="E59" s="166">
        <f>'Carichi unitari'!$M$4</f>
        <v>3.2</v>
      </c>
      <c r="F59" s="166">
        <f t="shared" si="17"/>
        <v>421.875</v>
      </c>
      <c r="G59" s="166"/>
      <c r="H59" s="239">
        <f>12*'Carichi unitari'!$P$4*F59/E59^2/1000000/(1+0.5*(F59/G60+F59/G61))</f>
        <v>4.0899910233393175</v>
      </c>
      <c r="I59" s="165">
        <f>'Carichi unitari'!$M$4</f>
        <v>3.2</v>
      </c>
      <c r="J59" s="167">
        <f t="shared" si="18"/>
        <v>421.875</v>
      </c>
      <c r="K59" s="167"/>
      <c r="L59" s="168">
        <f>12*'Carichi unitari'!$P$4*J59/I59^2/1000000/(1+0.5*(J59/K60+J59/K61))</f>
        <v>3.7311359382311644</v>
      </c>
      <c r="M59" s="195">
        <v>1</v>
      </c>
      <c r="N59" s="169"/>
      <c r="O59" s="165">
        <v>0</v>
      </c>
      <c r="P59" s="168"/>
    </row>
    <row r="60" spans="1:16" ht="15.6" x14ac:dyDescent="0.3">
      <c r="A60" s="188" t="s">
        <v>107</v>
      </c>
      <c r="B60" s="171">
        <f>$X$6</f>
        <v>60</v>
      </c>
      <c r="C60" s="210">
        <f>$Y$6</f>
        <v>24</v>
      </c>
      <c r="D60" s="50">
        <f t="shared" si="16"/>
        <v>69120</v>
      </c>
      <c r="E60" s="99">
        <v>4.5999999999999996</v>
      </c>
      <c r="F60" s="50">
        <f t="shared" si="17"/>
        <v>150.2608695652174</v>
      </c>
      <c r="G60" s="172">
        <f>(F60+F60)/2</f>
        <v>150.2608695652174</v>
      </c>
      <c r="H60" s="210"/>
      <c r="I60" s="184">
        <v>5.2</v>
      </c>
      <c r="J60" s="172">
        <f t="shared" si="18"/>
        <v>132.92307692307693</v>
      </c>
      <c r="K60" s="172">
        <f>(J60+J60)/2</f>
        <v>132.92307692307693</v>
      </c>
      <c r="L60" s="248">
        <f>L59/L49</f>
        <v>0.19265886757136175</v>
      </c>
      <c r="M60" s="242"/>
      <c r="N60" s="154"/>
      <c r="O60" s="171"/>
      <c r="P60" s="173"/>
    </row>
    <row r="61" spans="1:16" ht="16.2" thickBot="1" x14ac:dyDescent="0.35">
      <c r="A61" s="191" t="s">
        <v>108</v>
      </c>
      <c r="B61" s="171">
        <f>$X$6</f>
        <v>60</v>
      </c>
      <c r="C61" s="210">
        <f>$Y$6</f>
        <v>24</v>
      </c>
      <c r="D61" s="48">
        <f t="shared" si="16"/>
        <v>69120</v>
      </c>
      <c r="E61" s="181">
        <v>4.5999999999999996</v>
      </c>
      <c r="F61" s="48">
        <f t="shared" si="17"/>
        <v>150.2608695652174</v>
      </c>
      <c r="G61" s="182">
        <f>(F61+F61)/2</f>
        <v>150.2608695652174</v>
      </c>
      <c r="H61" s="211"/>
      <c r="I61" s="185">
        <v>5.2</v>
      </c>
      <c r="J61" s="182">
        <f t="shared" si="18"/>
        <v>132.92307692307693</v>
      </c>
      <c r="K61" s="182">
        <f>(J61+J61)/2</f>
        <v>132.92307692307693</v>
      </c>
      <c r="L61" s="183"/>
      <c r="M61" s="243"/>
      <c r="N61" s="155"/>
      <c r="O61" s="180"/>
      <c r="P61" s="183"/>
    </row>
    <row r="62" spans="1:16" ht="16.2" thickBot="1" x14ac:dyDescent="0.35">
      <c r="B62" s="733" t="s">
        <v>171</v>
      </c>
      <c r="C62" s="734"/>
      <c r="D62" s="734"/>
      <c r="E62" s="734"/>
      <c r="F62" s="734"/>
      <c r="G62" s="734"/>
      <c r="H62" s="734"/>
      <c r="I62" s="734"/>
      <c r="J62" s="734"/>
      <c r="K62" s="734"/>
      <c r="L62" s="734"/>
      <c r="M62" s="735"/>
      <c r="N62" s="735"/>
      <c r="O62" s="735"/>
      <c r="P62" s="736"/>
    </row>
    <row r="63" spans="1:16" ht="15.6" x14ac:dyDescent="0.3">
      <c r="A63" s="187" t="s">
        <v>106</v>
      </c>
      <c r="B63" s="165">
        <f>$V$6</f>
        <v>30</v>
      </c>
      <c r="C63" s="166">
        <f>$W$6</f>
        <v>60</v>
      </c>
      <c r="D63" s="166">
        <f t="shared" ref="D63:D68" si="19">B63*C63^3/12</f>
        <v>540000</v>
      </c>
      <c r="E63" s="166">
        <f>'Carichi unitari'!$M$4</f>
        <v>3.2</v>
      </c>
      <c r="F63" s="167">
        <f t="shared" ref="F63:F68" si="20">D63/(100*E63)</f>
        <v>1687.5</v>
      </c>
      <c r="G63" s="166"/>
      <c r="H63" s="239">
        <f>12*'Carichi unitari'!$P$4*F63/E63^2/1000000/(1+0.5*(F63/G64+F63/G65))</f>
        <v>12.657214359189272</v>
      </c>
      <c r="I63" s="165">
        <f>'Carichi unitari'!$M$4</f>
        <v>3.2</v>
      </c>
      <c r="J63" s="167">
        <f t="shared" ref="J63:J68" si="21">D63/(100*I63)</f>
        <v>1687.5</v>
      </c>
      <c r="K63" s="167"/>
      <c r="L63" s="168">
        <f>12*'Carichi unitari'!$P$4*J63/I63^2/1000000/(1+0.5*(J63/K64+J63/K65))</f>
        <v>11.465577115543896</v>
      </c>
      <c r="M63" s="195">
        <v>6</v>
      </c>
      <c r="N63" s="169"/>
      <c r="O63" s="170">
        <v>0</v>
      </c>
      <c r="P63" s="168"/>
    </row>
    <row r="64" spans="1:16" ht="15.6" x14ac:dyDescent="0.3">
      <c r="A64" s="188" t="s">
        <v>107</v>
      </c>
      <c r="B64" s="171">
        <f>$T$6</f>
        <v>30</v>
      </c>
      <c r="C64" s="50">
        <f>$U$6</f>
        <v>50</v>
      </c>
      <c r="D64" s="50">
        <f t="shared" si="19"/>
        <v>312500</v>
      </c>
      <c r="E64" s="99">
        <v>4.5999999999999996</v>
      </c>
      <c r="F64" s="172">
        <f t="shared" si="20"/>
        <v>679.34782608695662</v>
      </c>
      <c r="G64" s="172">
        <f>(F64)/2</f>
        <v>339.67391304347831</v>
      </c>
      <c r="H64" s="210"/>
      <c r="I64" s="184">
        <v>5.2</v>
      </c>
      <c r="J64" s="172">
        <f t="shared" si="21"/>
        <v>600.96153846153845</v>
      </c>
      <c r="K64" s="172">
        <f>(J64)/2</f>
        <v>300.48076923076923</v>
      </c>
      <c r="L64" s="248">
        <f>L63/L49</f>
        <v>0.59203018590097556</v>
      </c>
      <c r="M64" s="196"/>
      <c r="N64" s="154"/>
      <c r="O64" s="174"/>
      <c r="P64" s="173"/>
    </row>
    <row r="65" spans="1:16" ht="16.2" thickBot="1" x14ac:dyDescent="0.35">
      <c r="A65" s="189" t="s">
        <v>108</v>
      </c>
      <c r="B65" s="175">
        <f>$T$7</f>
        <v>30</v>
      </c>
      <c r="C65" s="176">
        <f>$U$7</f>
        <v>60</v>
      </c>
      <c r="D65" s="176">
        <f t="shared" si="19"/>
        <v>540000</v>
      </c>
      <c r="E65" s="149">
        <v>4.5999999999999996</v>
      </c>
      <c r="F65" s="177">
        <f t="shared" si="20"/>
        <v>1173.913043478261</v>
      </c>
      <c r="G65" s="177">
        <f>(F65)/2</f>
        <v>586.95652173913049</v>
      </c>
      <c r="H65" s="240"/>
      <c r="I65" s="241">
        <v>5.2</v>
      </c>
      <c r="J65" s="177">
        <f t="shared" si="21"/>
        <v>1038.4615384615386</v>
      </c>
      <c r="K65" s="177">
        <f>(J65)/2</f>
        <v>519.23076923076928</v>
      </c>
      <c r="L65" s="178"/>
      <c r="M65" s="202"/>
      <c r="N65" s="155"/>
      <c r="O65" s="186"/>
      <c r="P65" s="183"/>
    </row>
    <row r="66" spans="1:16" ht="15.6" x14ac:dyDescent="0.3">
      <c r="A66" s="187" t="s">
        <v>106</v>
      </c>
      <c r="B66" s="165">
        <f>$W$6</f>
        <v>60</v>
      </c>
      <c r="C66" s="166">
        <f>$V$6</f>
        <v>30</v>
      </c>
      <c r="D66" s="166">
        <f t="shared" si="19"/>
        <v>135000</v>
      </c>
      <c r="E66" s="166">
        <f>'Carichi unitari'!$M$4</f>
        <v>3.2</v>
      </c>
      <c r="F66" s="167">
        <f t="shared" si="20"/>
        <v>421.875</v>
      </c>
      <c r="G66" s="167"/>
      <c r="H66" s="239">
        <f>12*'Carichi unitari'!$P$4*F66/E66^2/1000000/(1+0.5*(F66/G67+F66/G68))</f>
        <v>7.863722838950955</v>
      </c>
      <c r="I66" s="165">
        <f>'Carichi unitari'!$M$4</f>
        <v>3.2</v>
      </c>
      <c r="J66" s="167">
        <f t="shared" si="21"/>
        <v>421.875</v>
      </c>
      <c r="K66" s="167"/>
      <c r="L66" s="168">
        <f>12*'Carichi unitari'!$P$4*J66/I66^2/1000000/(1+0.5*(J66/K67+J66/K68))</f>
        <v>7.3867521011205959</v>
      </c>
      <c r="M66" s="195">
        <v>2</v>
      </c>
      <c r="N66" s="169"/>
      <c r="O66" s="170">
        <v>12</v>
      </c>
      <c r="P66" s="168"/>
    </row>
    <row r="67" spans="1:16" ht="15.6" x14ac:dyDescent="0.3">
      <c r="A67" s="188" t="s">
        <v>107</v>
      </c>
      <c r="B67" s="171">
        <f>$T$6</f>
        <v>30</v>
      </c>
      <c r="C67" s="50">
        <f>$U$6</f>
        <v>50</v>
      </c>
      <c r="D67" s="50">
        <f t="shared" si="19"/>
        <v>312500</v>
      </c>
      <c r="E67" s="99">
        <v>4.5999999999999996</v>
      </c>
      <c r="F67" s="172">
        <f t="shared" si="20"/>
        <v>679.34782608695662</v>
      </c>
      <c r="G67" s="172">
        <f>(F67)/2</f>
        <v>339.67391304347831</v>
      </c>
      <c r="H67" s="210"/>
      <c r="I67" s="184">
        <v>5.2</v>
      </c>
      <c r="J67" s="172">
        <f t="shared" si="21"/>
        <v>600.96153846153845</v>
      </c>
      <c r="K67" s="172">
        <f>(J67)/2</f>
        <v>300.48076923076923</v>
      </c>
      <c r="L67" s="248">
        <f>L66/L49</f>
        <v>0.38141823787501483</v>
      </c>
      <c r="M67" s="196"/>
      <c r="N67" s="154"/>
      <c r="O67" s="171"/>
      <c r="P67" s="173"/>
    </row>
    <row r="68" spans="1:16" ht="16.2" thickBot="1" x14ac:dyDescent="0.35">
      <c r="A68" s="191" t="s">
        <v>108</v>
      </c>
      <c r="B68" s="180">
        <f>$T$7</f>
        <v>30</v>
      </c>
      <c r="C68" s="48">
        <f>$U$7</f>
        <v>60</v>
      </c>
      <c r="D68" s="48">
        <f t="shared" si="19"/>
        <v>540000</v>
      </c>
      <c r="E68" s="181">
        <v>4.5999999999999996</v>
      </c>
      <c r="F68" s="182">
        <f t="shared" si="20"/>
        <v>1173.913043478261</v>
      </c>
      <c r="G68" s="182">
        <f>(F68)/2</f>
        <v>586.95652173913049</v>
      </c>
      <c r="H68" s="211"/>
      <c r="I68" s="185">
        <v>5.2</v>
      </c>
      <c r="J68" s="182">
        <f t="shared" si="21"/>
        <v>1038.4615384615386</v>
      </c>
      <c r="K68" s="182">
        <f>(J68)/2</f>
        <v>519.23076923076928</v>
      </c>
      <c r="L68" s="183"/>
      <c r="M68" s="202"/>
      <c r="N68" s="155"/>
      <c r="O68" s="180"/>
      <c r="P68" s="183"/>
    </row>
    <row r="69" spans="1:16" ht="16.2" thickBot="1" x14ac:dyDescent="0.35">
      <c r="B69" s="733" t="s">
        <v>172</v>
      </c>
      <c r="C69" s="734"/>
      <c r="D69" s="734"/>
      <c r="E69" s="734"/>
      <c r="F69" s="734"/>
      <c r="G69" s="734"/>
      <c r="H69" s="734"/>
      <c r="I69" s="734"/>
      <c r="J69" s="734"/>
      <c r="K69" s="734"/>
      <c r="L69" s="734"/>
      <c r="M69" s="727"/>
      <c r="N69" s="727"/>
      <c r="O69" s="727"/>
      <c r="P69" s="728"/>
    </row>
    <row r="70" spans="1:16" ht="15.6" x14ac:dyDescent="0.3">
      <c r="A70" s="187" t="s">
        <v>106</v>
      </c>
      <c r="B70" s="165">
        <f>$V$6</f>
        <v>30</v>
      </c>
      <c r="C70" s="166">
        <f>$W$6</f>
        <v>60</v>
      </c>
      <c r="D70" s="166">
        <f t="shared" ref="D70:D75" si="22">B70*C70^3/12</f>
        <v>540000</v>
      </c>
      <c r="E70" s="166">
        <f>'Carichi unitari'!$M$4</f>
        <v>3.2</v>
      </c>
      <c r="F70" s="167">
        <f t="shared" ref="F70:F75" si="23">D70/(100*E70)</f>
        <v>1687.5</v>
      </c>
      <c r="G70" s="166"/>
      <c r="H70" s="239">
        <f>12*'Carichi unitari'!$P$4*F70/E70^2/1000000/(1+0.5*(F70/G71+F70/G72))</f>
        <v>2.6551573426573425</v>
      </c>
      <c r="I70" s="165">
        <f>'Carichi unitari'!$M$4</f>
        <v>3.2</v>
      </c>
      <c r="J70" s="167">
        <f>D70/(100*I70)</f>
        <v>1687.5</v>
      </c>
      <c r="K70" s="167"/>
      <c r="L70" s="168">
        <f>12*'Carichi unitari'!$P$4*J70/I70^2/1000000/(1+0.5*(J70/K71+J70/K72))</f>
        <v>2.3604018650088809</v>
      </c>
      <c r="M70" s="195">
        <v>0</v>
      </c>
      <c r="N70" s="169"/>
      <c r="O70" s="170">
        <v>0</v>
      </c>
      <c r="P70" s="168"/>
    </row>
    <row r="71" spans="1:16" ht="15.6" x14ac:dyDescent="0.3">
      <c r="A71" s="188" t="s">
        <v>107</v>
      </c>
      <c r="B71" s="171">
        <f>$X$6</f>
        <v>60</v>
      </c>
      <c r="C71" s="210">
        <f>$Y$6</f>
        <v>24</v>
      </c>
      <c r="D71" s="50">
        <f t="shared" si="22"/>
        <v>69120</v>
      </c>
      <c r="E71" s="99">
        <v>4.5999999999999996</v>
      </c>
      <c r="F71" s="172">
        <f t="shared" si="23"/>
        <v>150.2608695652174</v>
      </c>
      <c r="G71" s="172">
        <f>(F71)/2</f>
        <v>75.130434782608702</v>
      </c>
      <c r="H71" s="210"/>
      <c r="I71" s="184">
        <v>5.2</v>
      </c>
      <c r="J71" s="172">
        <f t="shared" ref="J71:J86" si="24">D71/(100*I71)</f>
        <v>132.92307692307693</v>
      </c>
      <c r="K71" s="172">
        <f>(J71)/2</f>
        <v>66.461538461538467</v>
      </c>
      <c r="L71" s="248">
        <f>L70/L49</f>
        <v>0.12188040260509179</v>
      </c>
      <c r="M71" s="196"/>
      <c r="N71" s="154"/>
      <c r="O71" s="174"/>
      <c r="P71" s="173"/>
    </row>
    <row r="72" spans="1:16" ht="16.2" thickBot="1" x14ac:dyDescent="0.35">
      <c r="A72" s="189" t="s">
        <v>108</v>
      </c>
      <c r="B72" s="171">
        <f>$X$6</f>
        <v>60</v>
      </c>
      <c r="C72" s="210">
        <f>$Y$6</f>
        <v>24</v>
      </c>
      <c r="D72" s="48">
        <f t="shared" si="22"/>
        <v>69120</v>
      </c>
      <c r="E72" s="181">
        <v>4.5999999999999996</v>
      </c>
      <c r="F72" s="182">
        <f t="shared" si="23"/>
        <v>150.2608695652174</v>
      </c>
      <c r="G72" s="182">
        <f>(F72)/2</f>
        <v>75.130434782608702</v>
      </c>
      <c r="H72" s="211"/>
      <c r="I72" s="185">
        <v>5.2</v>
      </c>
      <c r="J72" s="182">
        <f t="shared" si="24"/>
        <v>132.92307692307693</v>
      </c>
      <c r="K72" s="182">
        <f>(J72)/2</f>
        <v>66.461538461538467</v>
      </c>
      <c r="L72" s="183"/>
      <c r="M72" s="202"/>
      <c r="N72" s="155"/>
      <c r="O72" s="186"/>
      <c r="P72" s="183"/>
    </row>
    <row r="73" spans="1:16" ht="15.6" x14ac:dyDescent="0.3">
      <c r="A73" s="160" t="s">
        <v>106</v>
      </c>
      <c r="B73" s="198">
        <f>$W$6</f>
        <v>60</v>
      </c>
      <c r="C73" s="199">
        <f>$V$6</f>
        <v>30</v>
      </c>
      <c r="D73" s="199">
        <f t="shared" si="22"/>
        <v>135000</v>
      </c>
      <c r="E73" s="199">
        <f>'Carichi unitari'!$M$4</f>
        <v>3.2</v>
      </c>
      <c r="F73" s="200">
        <f t="shared" si="23"/>
        <v>421.875</v>
      </c>
      <c r="G73" s="200"/>
      <c r="H73" s="246">
        <f>12*'Carichi unitari'!$P$4*F73/E73^2/1000000/(1+0.5*(F73/G74+F73/G75))</f>
        <v>2.3541297608503098</v>
      </c>
      <c r="I73" s="165">
        <f>'Carichi unitari'!$M$4</f>
        <v>3.2</v>
      </c>
      <c r="J73" s="167">
        <f t="shared" si="24"/>
        <v>421.875</v>
      </c>
      <c r="K73" s="167"/>
      <c r="L73" s="168">
        <f>12*'Carichi unitari'!$P$4*J73/I73^2/1000000/(1+0.5*(J73/K74+J73/K75))</f>
        <v>2.1194677033492821</v>
      </c>
      <c r="M73" s="195">
        <v>2</v>
      </c>
      <c r="N73" s="169"/>
      <c r="O73" s="170">
        <v>0</v>
      </c>
      <c r="P73" s="168"/>
    </row>
    <row r="74" spans="1:16" ht="15.6" x14ac:dyDescent="0.3">
      <c r="A74" s="161" t="s">
        <v>107</v>
      </c>
      <c r="B74" s="171">
        <f>$X$6</f>
        <v>60</v>
      </c>
      <c r="C74" s="210">
        <f>$Y$6</f>
        <v>24</v>
      </c>
      <c r="D74" s="50">
        <f t="shared" si="22"/>
        <v>69120</v>
      </c>
      <c r="E74" s="99">
        <v>4.5999999999999996</v>
      </c>
      <c r="F74" s="172">
        <f t="shared" si="23"/>
        <v>150.2608695652174</v>
      </c>
      <c r="G74" s="172">
        <f>(F74)/2</f>
        <v>75.130434782608702</v>
      </c>
      <c r="H74" s="210"/>
      <c r="I74" s="184">
        <v>5.2</v>
      </c>
      <c r="J74" s="172">
        <f t="shared" si="24"/>
        <v>132.92307692307693</v>
      </c>
      <c r="K74" s="172">
        <f>(J74)/2</f>
        <v>66.461538461538467</v>
      </c>
      <c r="L74" s="248">
        <f>L73/L49</f>
        <v>0.10943965975544925</v>
      </c>
      <c r="M74" s="196"/>
      <c r="N74" s="154"/>
      <c r="O74" s="171"/>
      <c r="P74" s="173"/>
    </row>
    <row r="75" spans="1:16" ht="16.2" thickBot="1" x14ac:dyDescent="0.35">
      <c r="A75" s="162" t="s">
        <v>108</v>
      </c>
      <c r="B75" s="171">
        <f>$X$6</f>
        <v>60</v>
      </c>
      <c r="C75" s="210">
        <f>$Y$6</f>
        <v>24</v>
      </c>
      <c r="D75" s="48">
        <f t="shared" si="22"/>
        <v>69120</v>
      </c>
      <c r="E75" s="181">
        <v>4.5999999999999996</v>
      </c>
      <c r="F75" s="182">
        <f t="shared" si="23"/>
        <v>150.2608695652174</v>
      </c>
      <c r="G75" s="182">
        <f>(F75)/2</f>
        <v>75.130434782608702</v>
      </c>
      <c r="H75" s="211"/>
      <c r="I75" s="185">
        <v>5.2</v>
      </c>
      <c r="J75" s="182">
        <f t="shared" si="24"/>
        <v>132.92307692307693</v>
      </c>
      <c r="K75" s="182">
        <f>(J75)/2</f>
        <v>66.461538461538467</v>
      </c>
      <c r="L75" s="183"/>
      <c r="M75" s="202"/>
      <c r="N75" s="155"/>
      <c r="O75" s="180"/>
      <c r="P75" s="183"/>
    </row>
    <row r="76" spans="1:16" ht="16.2" thickBot="1" x14ac:dyDescent="0.35">
      <c r="B76" s="725" t="s">
        <v>173</v>
      </c>
      <c r="C76" s="726"/>
      <c r="D76" s="726"/>
      <c r="E76" s="726"/>
      <c r="F76" s="726"/>
      <c r="G76" s="726"/>
      <c r="H76" s="726"/>
      <c r="I76" s="734"/>
      <c r="J76" s="734"/>
      <c r="K76" s="734"/>
      <c r="L76" s="734"/>
      <c r="M76" s="726"/>
      <c r="N76" s="726"/>
      <c r="O76" s="726"/>
      <c r="P76" s="737"/>
    </row>
    <row r="77" spans="1:16" ht="15.6" x14ac:dyDescent="0.3">
      <c r="A77" s="187" t="s">
        <v>106</v>
      </c>
      <c r="B77" s="165">
        <f>$V$6</f>
        <v>30</v>
      </c>
      <c r="C77" s="166">
        <f>$W$6</f>
        <v>60</v>
      </c>
      <c r="D77" s="166">
        <f>B77*C77^3/12</f>
        <v>540000</v>
      </c>
      <c r="E77" s="166">
        <f>'Carichi unitari'!$M$4</f>
        <v>3.2</v>
      </c>
      <c r="F77" s="167">
        <f>D77/(100*E77)</f>
        <v>1687.5</v>
      </c>
      <c r="G77" s="166"/>
      <c r="H77" s="239">
        <f>12*'Carichi unitari'!$P$4*F77/E77^2/1000000/(1+0.5*(F77/G78+F77/G80))</f>
        <v>15.574314955180173</v>
      </c>
      <c r="I77" s="165">
        <f>'Carichi unitari'!$M$4</f>
        <v>3.2</v>
      </c>
      <c r="J77" s="167">
        <f t="shared" si="24"/>
        <v>1687.5</v>
      </c>
      <c r="K77" s="167"/>
      <c r="L77" s="168">
        <f>12*'Carichi unitari'!$P$4*J77/I77^2/1000000/(1+0.5*(J77/K78+J77/K80))</f>
        <v>14.186537041944273</v>
      </c>
      <c r="M77" s="195">
        <v>0</v>
      </c>
      <c r="N77" s="169"/>
      <c r="O77" s="170">
        <v>1</v>
      </c>
      <c r="P77" s="168"/>
    </row>
    <row r="78" spans="1:16" ht="15.6" x14ac:dyDescent="0.3">
      <c r="A78" s="188" t="s">
        <v>107</v>
      </c>
      <c r="B78" s="171">
        <f>$X$5</f>
        <v>100</v>
      </c>
      <c r="C78" s="50">
        <f>$Y$5</f>
        <v>24</v>
      </c>
      <c r="D78" s="50">
        <f t="shared" ref="D78:D86" si="25">B78*C78^3/12</f>
        <v>115200</v>
      </c>
      <c r="E78" s="99">
        <v>4.5999999999999996</v>
      </c>
      <c r="F78" s="172">
        <f t="shared" ref="F78:F86" si="26">D78/(100*E78)</f>
        <v>250.43478260869568</v>
      </c>
      <c r="G78" s="172">
        <f>(F78+F79)/2</f>
        <v>464.89130434782612</v>
      </c>
      <c r="H78" s="210"/>
      <c r="I78" s="184">
        <v>5.2</v>
      </c>
      <c r="J78" s="172">
        <f t="shared" si="24"/>
        <v>221.53846153846155</v>
      </c>
      <c r="K78" s="172">
        <f>(J78+J79)/2</f>
        <v>411.25</v>
      </c>
      <c r="L78" s="248">
        <f>L77/L49</f>
        <v>0.73252816474863724</v>
      </c>
      <c r="M78" s="196"/>
      <c r="N78" s="154"/>
      <c r="O78" s="174"/>
      <c r="P78" s="173"/>
    </row>
    <row r="79" spans="1:16" ht="15.6" x14ac:dyDescent="0.3">
      <c r="A79" s="189"/>
      <c r="B79" s="171">
        <f>$T$6</f>
        <v>30</v>
      </c>
      <c r="C79" s="50">
        <f>$U$6</f>
        <v>50</v>
      </c>
      <c r="D79" s="50">
        <f t="shared" si="25"/>
        <v>312500</v>
      </c>
      <c r="E79" s="99">
        <v>4.5999999999999996</v>
      </c>
      <c r="F79" s="172">
        <f t="shared" si="26"/>
        <v>679.34782608695662</v>
      </c>
      <c r="G79" s="172"/>
      <c r="H79" s="210"/>
      <c r="I79" s="184">
        <v>5.2</v>
      </c>
      <c r="J79" s="172">
        <f t="shared" si="24"/>
        <v>600.96153846153845</v>
      </c>
      <c r="K79" s="172"/>
      <c r="L79" s="173"/>
      <c r="M79" s="196"/>
      <c r="N79" s="154"/>
      <c r="O79" s="174"/>
      <c r="P79" s="173"/>
    </row>
    <row r="80" spans="1:16" ht="15.6" x14ac:dyDescent="0.3">
      <c r="A80" s="189" t="s">
        <v>108</v>
      </c>
      <c r="B80" s="171">
        <f>$X$5</f>
        <v>100</v>
      </c>
      <c r="C80" s="50">
        <f>$Y$5</f>
        <v>24</v>
      </c>
      <c r="D80" s="50">
        <f t="shared" si="25"/>
        <v>115200</v>
      </c>
      <c r="E80" s="99">
        <v>4.5999999999999996</v>
      </c>
      <c r="F80" s="172">
        <f t="shared" si="26"/>
        <v>250.43478260869568</v>
      </c>
      <c r="G80" s="172">
        <f>(F80+F81)/2</f>
        <v>712.17391304347836</v>
      </c>
      <c r="H80" s="210"/>
      <c r="I80" s="184">
        <v>5.2</v>
      </c>
      <c r="J80" s="172">
        <f t="shared" si="24"/>
        <v>221.53846153846155</v>
      </c>
      <c r="K80" s="172">
        <f>(J80+J81)/2</f>
        <v>630</v>
      </c>
      <c r="L80" s="173"/>
      <c r="M80" s="196"/>
      <c r="N80" s="154"/>
      <c r="O80" s="174"/>
      <c r="P80" s="173"/>
    </row>
    <row r="81" spans="1:16" ht="16.2" thickBot="1" x14ac:dyDescent="0.35">
      <c r="A81" s="190"/>
      <c r="B81" s="175">
        <f>$T$7</f>
        <v>30</v>
      </c>
      <c r="C81" s="176">
        <f>$U$7</f>
        <v>60</v>
      </c>
      <c r="D81" s="176">
        <f t="shared" si="25"/>
        <v>540000</v>
      </c>
      <c r="E81" s="149">
        <v>4.5999999999999996</v>
      </c>
      <c r="F81" s="177">
        <f t="shared" si="26"/>
        <v>1173.913043478261</v>
      </c>
      <c r="G81" s="177"/>
      <c r="H81" s="240"/>
      <c r="I81" s="241">
        <v>5.2</v>
      </c>
      <c r="J81" s="177">
        <f t="shared" si="24"/>
        <v>1038.4615384615386</v>
      </c>
      <c r="K81" s="176"/>
      <c r="L81" s="178"/>
      <c r="M81" s="202"/>
      <c r="N81" s="155"/>
      <c r="O81" s="186"/>
      <c r="P81" s="183"/>
    </row>
    <row r="82" spans="1:16" ht="15.6" x14ac:dyDescent="0.3">
      <c r="A82" s="187" t="s">
        <v>106</v>
      </c>
      <c r="B82" s="165">
        <f>$W$6</f>
        <v>60</v>
      </c>
      <c r="C82" s="166">
        <f>$V$6</f>
        <v>30</v>
      </c>
      <c r="D82" s="166">
        <f t="shared" si="25"/>
        <v>135000</v>
      </c>
      <c r="E82" s="166">
        <f>'Carichi unitari'!$M$4</f>
        <v>3.2</v>
      </c>
      <c r="F82" s="167">
        <f t="shared" si="26"/>
        <v>421.875</v>
      </c>
      <c r="G82" s="167"/>
      <c r="H82" s="239">
        <f>12*'Carichi unitari'!$P$4*F82/E82^2/1000000/(1+0.5*(F82/G83+F82/G85))</f>
        <v>8.5233260149057735</v>
      </c>
      <c r="I82" s="165">
        <f>'Carichi unitari'!$M$4</f>
        <v>3.2</v>
      </c>
      <c r="J82" s="167">
        <f t="shared" si="24"/>
        <v>421.875</v>
      </c>
      <c r="K82" s="167"/>
      <c r="L82" s="168">
        <f>12*'Carichi unitari'!$P$4*J82/I82^2/1000000/(1+0.5*(J82/K83+J82/K85))</f>
        <v>8.048113043890444</v>
      </c>
      <c r="M82" s="195">
        <v>4</v>
      </c>
      <c r="N82" s="169"/>
      <c r="O82" s="170">
        <v>1</v>
      </c>
      <c r="P82" s="168"/>
    </row>
    <row r="83" spans="1:16" ht="15.6" x14ac:dyDescent="0.3">
      <c r="A83" s="188" t="s">
        <v>107</v>
      </c>
      <c r="B83" s="171">
        <f>'stima car. unit.'!$U$9*100</f>
        <v>60</v>
      </c>
      <c r="C83" s="210">
        <f>'stima car. unit.'!$T$9*100</f>
        <v>24</v>
      </c>
      <c r="D83" s="50">
        <f t="shared" si="25"/>
        <v>69120</v>
      </c>
      <c r="E83" s="99">
        <v>4.5999999999999996</v>
      </c>
      <c r="F83" s="172">
        <f t="shared" si="26"/>
        <v>150.2608695652174</v>
      </c>
      <c r="G83" s="172">
        <f>(F83+F84)/2</f>
        <v>414.804347826087</v>
      </c>
      <c r="H83" s="210"/>
      <c r="I83" s="184">
        <v>5.2</v>
      </c>
      <c r="J83" s="172">
        <f t="shared" si="24"/>
        <v>132.92307692307693</v>
      </c>
      <c r="K83" s="172">
        <f>(J83+J84)/2</f>
        <v>366.94230769230768</v>
      </c>
      <c r="L83" s="248">
        <f>L82/L49</f>
        <v>0.4155679050003494</v>
      </c>
      <c r="M83" s="196"/>
      <c r="N83" s="154"/>
      <c r="O83" s="171"/>
      <c r="P83" s="173"/>
    </row>
    <row r="84" spans="1:16" x14ac:dyDescent="0.3">
      <c r="B84" s="171">
        <f>$T$6</f>
        <v>30</v>
      </c>
      <c r="C84" s="50">
        <f>$U$6</f>
        <v>50</v>
      </c>
      <c r="D84" s="50">
        <f t="shared" si="25"/>
        <v>312500</v>
      </c>
      <c r="E84" s="99">
        <v>4.5999999999999996</v>
      </c>
      <c r="F84" s="172">
        <f t="shared" si="26"/>
        <v>679.34782608695662</v>
      </c>
      <c r="G84" s="97"/>
      <c r="H84" s="244"/>
      <c r="I84" s="184">
        <v>5.2</v>
      </c>
      <c r="J84" s="172">
        <f t="shared" si="24"/>
        <v>600.96153846153845</v>
      </c>
      <c r="K84" s="97"/>
      <c r="L84" s="117"/>
      <c r="M84" s="203"/>
      <c r="N84" s="117"/>
      <c r="O84" s="193"/>
      <c r="P84" s="117"/>
    </row>
    <row r="85" spans="1:16" ht="16.2" thickBot="1" x14ac:dyDescent="0.35">
      <c r="A85" s="191" t="s">
        <v>108</v>
      </c>
      <c r="B85" s="171">
        <f>'stima car. unit.'!$U$9*100</f>
        <v>60</v>
      </c>
      <c r="C85" s="210">
        <f>'stima car. unit.'!$T$9*100</f>
        <v>24</v>
      </c>
      <c r="D85" s="50">
        <f t="shared" si="25"/>
        <v>69120</v>
      </c>
      <c r="E85" s="99">
        <v>4.5999999999999996</v>
      </c>
      <c r="F85" s="172">
        <f t="shared" si="26"/>
        <v>150.2608695652174</v>
      </c>
      <c r="G85" s="172">
        <f>(F85+F86)/2</f>
        <v>662.08695652173924</v>
      </c>
      <c r="H85" s="210"/>
      <c r="I85" s="184">
        <v>5.2</v>
      </c>
      <c r="J85" s="172">
        <f t="shared" si="24"/>
        <v>132.92307692307693</v>
      </c>
      <c r="K85" s="172">
        <f>(J85+J86)/2</f>
        <v>585.69230769230774</v>
      </c>
      <c r="L85" s="173"/>
      <c r="M85" s="196"/>
      <c r="N85" s="154"/>
      <c r="O85" s="171"/>
      <c r="P85" s="173"/>
    </row>
    <row r="86" spans="1:16" ht="15" thickBot="1" x14ac:dyDescent="0.35">
      <c r="B86" s="180">
        <f>$T$7</f>
        <v>30</v>
      </c>
      <c r="C86" s="48">
        <f>$U$7</f>
        <v>60</v>
      </c>
      <c r="D86" s="48">
        <f t="shared" si="25"/>
        <v>540000</v>
      </c>
      <c r="E86" s="181">
        <v>4.5999999999999996</v>
      </c>
      <c r="F86" s="182">
        <f t="shared" si="26"/>
        <v>1173.913043478261</v>
      </c>
      <c r="G86" s="36"/>
      <c r="H86" s="245"/>
      <c r="I86" s="185">
        <v>5.2</v>
      </c>
      <c r="J86" s="182">
        <f t="shared" si="24"/>
        <v>1038.4615384615386</v>
      </c>
      <c r="K86" s="36"/>
      <c r="L86" s="192"/>
      <c r="M86" s="204"/>
      <c r="N86" s="192"/>
      <c r="O86" s="194"/>
      <c r="P86" s="192"/>
    </row>
    <row r="88" spans="1:16" ht="15" thickBot="1" x14ac:dyDescent="0.35"/>
    <row r="89" spans="1:16" ht="16.2" thickBot="1" x14ac:dyDescent="0.35">
      <c r="A89" s="1"/>
      <c r="B89" s="720" t="s">
        <v>158</v>
      </c>
      <c r="C89" s="721"/>
      <c r="D89" s="721"/>
      <c r="E89" s="721"/>
      <c r="F89" s="721"/>
      <c r="G89" s="721"/>
      <c r="H89" s="722"/>
      <c r="I89" s="212"/>
      <c r="J89" s="212"/>
      <c r="K89" s="212"/>
      <c r="L89" s="212"/>
      <c r="M89" s="723" t="s">
        <v>112</v>
      </c>
      <c r="N89" s="724"/>
      <c r="O89" s="723" t="s">
        <v>162</v>
      </c>
      <c r="P89" s="724"/>
    </row>
    <row r="90" spans="1:16" ht="19.2" thickBot="1" x14ac:dyDescent="0.35">
      <c r="B90" s="156" t="s">
        <v>109</v>
      </c>
      <c r="C90" s="157" t="s">
        <v>110</v>
      </c>
      <c r="D90" s="157" t="s">
        <v>153</v>
      </c>
      <c r="E90" s="157" t="s">
        <v>113</v>
      </c>
      <c r="F90" s="157" t="s">
        <v>164</v>
      </c>
      <c r="G90" s="157"/>
      <c r="H90" s="158" t="s">
        <v>152</v>
      </c>
      <c r="I90" s="157" t="s">
        <v>113</v>
      </c>
      <c r="J90" s="157" t="s">
        <v>164</v>
      </c>
      <c r="K90" s="157"/>
      <c r="L90" s="158" t="s">
        <v>152</v>
      </c>
      <c r="M90" s="156" t="s">
        <v>111</v>
      </c>
      <c r="N90" s="159" t="s">
        <v>170</v>
      </c>
      <c r="O90" s="156" t="s">
        <v>111</v>
      </c>
      <c r="P90" s="159" t="s">
        <v>170</v>
      </c>
    </row>
    <row r="91" spans="1:16" ht="16.2" thickBot="1" x14ac:dyDescent="0.35">
      <c r="B91" s="725" t="s">
        <v>163</v>
      </c>
      <c r="C91" s="726"/>
      <c r="D91" s="726"/>
      <c r="E91" s="726"/>
      <c r="F91" s="726"/>
      <c r="G91" s="726"/>
      <c r="H91" s="726"/>
      <c r="I91" s="726"/>
      <c r="J91" s="726"/>
      <c r="K91" s="726"/>
      <c r="L91" s="726"/>
      <c r="M91" s="727"/>
      <c r="N91" s="727"/>
      <c r="O91" s="727"/>
      <c r="P91" s="728"/>
    </row>
    <row r="92" spans="1:16" ht="15.6" x14ac:dyDescent="0.3">
      <c r="A92" s="187" t="s">
        <v>106</v>
      </c>
      <c r="B92" s="165">
        <f>$V$7</f>
        <v>30</v>
      </c>
      <c r="C92" s="166">
        <f>$W$7</f>
        <v>70</v>
      </c>
      <c r="D92" s="166">
        <f t="shared" ref="D92:D97" si="27">B92*C92^3/12</f>
        <v>857500</v>
      </c>
      <c r="E92" s="166">
        <f>'Carichi unitari'!$M$4</f>
        <v>3.2</v>
      </c>
      <c r="F92" s="167">
        <f t="shared" ref="F92:F97" si="28">D92/(100*E92)</f>
        <v>2679.6875</v>
      </c>
      <c r="G92" s="166"/>
      <c r="H92" s="239">
        <f>12*'Carichi unitari'!$P$4*F92/E92^2/1000000/(1+0.5*(F92/G93+F92/G94))</f>
        <v>34.585576692043098</v>
      </c>
      <c r="I92" s="165">
        <f>'Carichi unitari'!$M$4</f>
        <v>3.2</v>
      </c>
      <c r="J92" s="167">
        <f t="shared" ref="J92:J97" si="29">D92/(100*I92)</f>
        <v>2679.6875</v>
      </c>
      <c r="K92" s="167"/>
      <c r="L92" s="168">
        <f>12*'Carichi unitari'!$P$4*J92/I92^2/1000000/(1+0.5*(J92/K93+J92/K94))</f>
        <v>31.881109093770394</v>
      </c>
      <c r="M92" s="195">
        <v>7</v>
      </c>
      <c r="N92" s="168">
        <f>H92*M92+H95*M95+H99*M99+H102*M102+H106*M106+H109*M109+H113*M113+H116*M116+H120*M120+H125*M125</f>
        <v>462.25101239401732</v>
      </c>
      <c r="O92" s="170">
        <v>9</v>
      </c>
      <c r="P92" s="168">
        <f>L92*O92+L95*O95+L102*O102+L106*O106+L109*O109+L113*O113+L116*O116+L120*O120+L99*O99+L125*O125</f>
        <v>455.45137656230611</v>
      </c>
    </row>
    <row r="93" spans="1:16" ht="15.6" x14ac:dyDescent="0.3">
      <c r="A93" s="188" t="s">
        <v>107</v>
      </c>
      <c r="B93" s="171">
        <f>$T$7</f>
        <v>30</v>
      </c>
      <c r="C93" s="50">
        <f>$U$7</f>
        <v>60</v>
      </c>
      <c r="D93" s="50">
        <f t="shared" si="27"/>
        <v>540000</v>
      </c>
      <c r="E93" s="99">
        <v>4.5999999999999996</v>
      </c>
      <c r="F93" s="172">
        <f t="shared" si="28"/>
        <v>1173.913043478261</v>
      </c>
      <c r="G93" s="172">
        <f>(F93+F93)/2</f>
        <v>1173.913043478261</v>
      </c>
      <c r="H93" s="210"/>
      <c r="I93" s="184">
        <v>5.2</v>
      </c>
      <c r="J93" s="172">
        <f t="shared" si="29"/>
        <v>1038.4615384615386</v>
      </c>
      <c r="K93" s="172">
        <f>(J93+J93)/2</f>
        <v>1038.4615384615386</v>
      </c>
      <c r="L93" s="247">
        <f>L92/L92</f>
        <v>1</v>
      </c>
      <c r="M93" s="196"/>
      <c r="N93" s="248">
        <f>N92/H92</f>
        <v>13.365427343022004</v>
      </c>
      <c r="O93" s="251"/>
      <c r="P93" s="248">
        <f>P92/L92</f>
        <v>14.285932626205335</v>
      </c>
    </row>
    <row r="94" spans="1:16" ht="16.2" thickBot="1" x14ac:dyDescent="0.35">
      <c r="A94" s="189" t="s">
        <v>108</v>
      </c>
      <c r="B94" s="180">
        <f>$T$8</f>
        <v>30</v>
      </c>
      <c r="C94" s="48">
        <f>$U$8</f>
        <v>70</v>
      </c>
      <c r="D94" s="48">
        <f t="shared" si="27"/>
        <v>857500</v>
      </c>
      <c r="E94" s="181">
        <v>4.5999999999999996</v>
      </c>
      <c r="F94" s="182">
        <f t="shared" si="28"/>
        <v>1864.130434782609</v>
      </c>
      <c r="G94" s="182">
        <f>(F94+F94)/2</f>
        <v>1864.130434782609</v>
      </c>
      <c r="H94" s="211"/>
      <c r="I94" s="241">
        <v>5.2</v>
      </c>
      <c r="J94" s="177">
        <f t="shared" si="29"/>
        <v>1649.0384615384614</v>
      </c>
      <c r="K94" s="177">
        <f>(J94+J94)/2</f>
        <v>1649.0384615384614</v>
      </c>
      <c r="L94" s="178"/>
      <c r="M94" s="197"/>
      <c r="N94" s="164"/>
      <c r="O94" s="179"/>
      <c r="P94" s="178"/>
    </row>
    <row r="95" spans="1:16" ht="15.6" x14ac:dyDescent="0.3">
      <c r="A95" s="187" t="s">
        <v>106</v>
      </c>
      <c r="B95" s="165">
        <f>$W$7</f>
        <v>70</v>
      </c>
      <c r="C95" s="166">
        <f>$V$7</f>
        <v>30</v>
      </c>
      <c r="D95" s="166">
        <f t="shared" si="27"/>
        <v>157500</v>
      </c>
      <c r="E95" s="166">
        <f>'Carichi unitari'!$M$4</f>
        <v>3.2</v>
      </c>
      <c r="F95" s="167">
        <f t="shared" si="28"/>
        <v>492.1875</v>
      </c>
      <c r="G95" s="167"/>
      <c r="H95" s="239">
        <f>12*'Carichi unitari'!$P$4*F95/E95^2/1000000/(1+0.5*(F95/G96+F95/G97))</f>
        <v>13.54200450840777</v>
      </c>
      <c r="I95" s="165">
        <f>'Carichi unitari'!$M$4</f>
        <v>3.2</v>
      </c>
      <c r="J95" s="167">
        <f t="shared" si="29"/>
        <v>492.1875</v>
      </c>
      <c r="K95" s="167"/>
      <c r="L95" s="168">
        <f>12*'Carichi unitari'!$P$4*J95/I95^2/1000000/(1+0.5*(J95/K96+J95/K97))</f>
        <v>13.106664601943791</v>
      </c>
      <c r="M95" s="195">
        <v>1</v>
      </c>
      <c r="N95" s="169"/>
      <c r="O95" s="170">
        <v>1</v>
      </c>
      <c r="P95" s="168"/>
    </row>
    <row r="96" spans="1:16" ht="15.6" x14ac:dyDescent="0.3">
      <c r="A96" s="188" t="s">
        <v>107</v>
      </c>
      <c r="B96" s="171">
        <f>$T$7</f>
        <v>30</v>
      </c>
      <c r="C96" s="50">
        <f>$U$7</f>
        <v>60</v>
      </c>
      <c r="D96" s="50">
        <f t="shared" si="27"/>
        <v>540000</v>
      </c>
      <c r="E96" s="99">
        <v>4.5999999999999996</v>
      </c>
      <c r="F96" s="172">
        <f t="shared" si="28"/>
        <v>1173.913043478261</v>
      </c>
      <c r="G96" s="172">
        <f>(F96+F96)/2</f>
        <v>1173.913043478261</v>
      </c>
      <c r="H96" s="210"/>
      <c r="I96" s="184">
        <v>5.2</v>
      </c>
      <c r="J96" s="172">
        <f t="shared" si="29"/>
        <v>1038.4615384615386</v>
      </c>
      <c r="K96" s="172">
        <f>(J96+J96)/2</f>
        <v>1038.4615384615386</v>
      </c>
      <c r="L96" s="173"/>
      <c r="M96" s="196"/>
      <c r="N96" s="154"/>
      <c r="O96" s="171"/>
      <c r="P96" s="173"/>
    </row>
    <row r="97" spans="1:16" ht="16.2" thickBot="1" x14ac:dyDescent="0.35">
      <c r="A97" s="191" t="s">
        <v>108</v>
      </c>
      <c r="B97" s="180">
        <f>$T$8</f>
        <v>30</v>
      </c>
      <c r="C97" s="48">
        <f>$U$8</f>
        <v>70</v>
      </c>
      <c r="D97" s="48">
        <f t="shared" si="27"/>
        <v>857500</v>
      </c>
      <c r="E97" s="181">
        <v>4.5999999999999996</v>
      </c>
      <c r="F97" s="182">
        <f t="shared" si="28"/>
        <v>1864.130434782609</v>
      </c>
      <c r="G97" s="182">
        <f>(F97+F97)/2</f>
        <v>1864.130434782609</v>
      </c>
      <c r="H97" s="211"/>
      <c r="I97" s="185">
        <v>5.2</v>
      </c>
      <c r="J97" s="182">
        <f t="shared" si="29"/>
        <v>1649.0384615384614</v>
      </c>
      <c r="K97" s="182">
        <f>(J97+J97)/2</f>
        <v>1649.0384615384614</v>
      </c>
      <c r="L97" s="183"/>
      <c r="M97" s="202"/>
      <c r="N97" s="155"/>
      <c r="O97" s="180"/>
      <c r="P97" s="183"/>
    </row>
    <row r="98" spans="1:16" ht="16.2" thickBot="1" x14ac:dyDescent="0.35">
      <c r="B98" s="729" t="s">
        <v>168</v>
      </c>
      <c r="C98" s="730"/>
      <c r="D98" s="730"/>
      <c r="E98" s="730"/>
      <c r="F98" s="730"/>
      <c r="G98" s="730"/>
      <c r="H98" s="730"/>
      <c r="I98" s="730"/>
      <c r="J98" s="730"/>
      <c r="K98" s="730"/>
      <c r="L98" s="730"/>
      <c r="M98" s="731"/>
      <c r="N98" s="731"/>
      <c r="O98" s="731"/>
      <c r="P98" s="732"/>
    </row>
    <row r="99" spans="1:16" ht="15.6" x14ac:dyDescent="0.3">
      <c r="A99" s="187" t="s">
        <v>106</v>
      </c>
      <c r="B99" s="165">
        <f>$V$7</f>
        <v>30</v>
      </c>
      <c r="C99" s="166">
        <f>$W$7</f>
        <v>70</v>
      </c>
      <c r="D99" s="166">
        <f t="shared" ref="D99:D104" si="30">B99*C99^3/12</f>
        <v>857500</v>
      </c>
      <c r="E99" s="166">
        <f>'Carichi unitari'!$M$4</f>
        <v>3.2</v>
      </c>
      <c r="F99" s="167">
        <f t="shared" ref="F99:F104" si="31">D99/(100*E99)</f>
        <v>2679.6875</v>
      </c>
      <c r="G99" s="166"/>
      <c r="H99" s="239">
        <f>12*'Carichi unitari'!$P$4*F99/E99^2/1000000/(1+0.5*(F99/G100+F99/G101))</f>
        <v>5.252225684905528</v>
      </c>
      <c r="I99" s="165">
        <f>'Carichi unitari'!$M$4</f>
        <v>3.2</v>
      </c>
      <c r="J99" s="167">
        <f t="shared" ref="J99:J104" si="32">D99/(100*I99)</f>
        <v>2679.6875</v>
      </c>
      <c r="K99" s="166"/>
      <c r="L99" s="168">
        <f>12*'Carichi unitari'!$P$4*J99/I99^2/1000000/(1+0.5*(J99/K100+J99/K101))</f>
        <v>4.674840241323845</v>
      </c>
      <c r="M99" s="195">
        <v>1</v>
      </c>
      <c r="N99" s="168"/>
      <c r="O99" s="170">
        <v>0</v>
      </c>
      <c r="P99" s="168"/>
    </row>
    <row r="100" spans="1:16" ht="15.6" x14ac:dyDescent="0.3">
      <c r="A100" s="188" t="s">
        <v>107</v>
      </c>
      <c r="B100" s="171">
        <f>$X$6</f>
        <v>60</v>
      </c>
      <c r="C100" s="210">
        <f>$Y$6</f>
        <v>24</v>
      </c>
      <c r="D100" s="50">
        <f t="shared" si="30"/>
        <v>69120</v>
      </c>
      <c r="E100" s="99">
        <v>4.5999999999999996</v>
      </c>
      <c r="F100" s="172">
        <f t="shared" si="31"/>
        <v>150.2608695652174</v>
      </c>
      <c r="G100" s="172">
        <f>(F100+F100)/2</f>
        <v>150.2608695652174</v>
      </c>
      <c r="H100" s="210"/>
      <c r="I100" s="184">
        <v>5.2</v>
      </c>
      <c r="J100" s="172">
        <f t="shared" si="32"/>
        <v>132.92307692307693</v>
      </c>
      <c r="K100" s="172">
        <f>(J100+J100)/2</f>
        <v>132.92307692307693</v>
      </c>
      <c r="L100" s="248">
        <f>L99/L92</f>
        <v>0.14663355115952709</v>
      </c>
      <c r="M100" s="196"/>
      <c r="N100" s="154"/>
      <c r="O100" s="174"/>
      <c r="P100" s="173"/>
    </row>
    <row r="101" spans="1:16" ht="16.2" thickBot="1" x14ac:dyDescent="0.35">
      <c r="A101" s="189" t="s">
        <v>108</v>
      </c>
      <c r="B101" s="171">
        <f>$X$6</f>
        <v>60</v>
      </c>
      <c r="C101" s="210">
        <f>$Y$6</f>
        <v>24</v>
      </c>
      <c r="D101" s="48">
        <f t="shared" si="30"/>
        <v>69120</v>
      </c>
      <c r="E101" s="181">
        <v>4.5999999999999996</v>
      </c>
      <c r="F101" s="182">
        <f t="shared" si="31"/>
        <v>150.2608695652174</v>
      </c>
      <c r="G101" s="182">
        <f>(F101+F101)/2</f>
        <v>150.2608695652174</v>
      </c>
      <c r="H101" s="211"/>
      <c r="I101" s="241">
        <v>5.2</v>
      </c>
      <c r="J101" s="177">
        <f t="shared" si="32"/>
        <v>132.92307692307693</v>
      </c>
      <c r="K101" s="177">
        <f>(J101+J101)/2</f>
        <v>132.92307692307693</v>
      </c>
      <c r="L101" s="178"/>
      <c r="M101" s="202"/>
      <c r="N101" s="155"/>
      <c r="O101" s="186"/>
      <c r="P101" s="183"/>
    </row>
    <row r="102" spans="1:16" ht="15.6" x14ac:dyDescent="0.3">
      <c r="A102" s="187" t="s">
        <v>106</v>
      </c>
      <c r="B102" s="165">
        <f>$W$7</f>
        <v>70</v>
      </c>
      <c r="C102" s="166">
        <f>$V$7</f>
        <v>30</v>
      </c>
      <c r="D102" s="166">
        <f t="shared" si="30"/>
        <v>157500</v>
      </c>
      <c r="E102" s="166">
        <f>'Carichi unitari'!$M$4</f>
        <v>3.2</v>
      </c>
      <c r="F102" s="166">
        <f t="shared" si="31"/>
        <v>492.1875</v>
      </c>
      <c r="G102" s="166"/>
      <c r="H102" s="239">
        <f>12*'Carichi unitari'!$P$4*F102/E102^2/1000000/(1+0.5*(F102/G103+F102/G104))</f>
        <v>4.2494242262743152</v>
      </c>
      <c r="I102" s="165">
        <f>'Carichi unitari'!$M$4</f>
        <v>3.2</v>
      </c>
      <c r="J102" s="167">
        <f t="shared" si="32"/>
        <v>492.1875</v>
      </c>
      <c r="K102" s="166"/>
      <c r="L102" s="168">
        <f>12*'Carichi unitari'!$P$4*J102/I102^2/1000000/(1+0.5*(J102/K103+J102/K104))</f>
        <v>3.8633669619990307</v>
      </c>
      <c r="M102" s="195">
        <v>1</v>
      </c>
      <c r="N102" s="169"/>
      <c r="O102" s="165">
        <v>0</v>
      </c>
      <c r="P102" s="168"/>
    </row>
    <row r="103" spans="1:16" ht="15.6" x14ac:dyDescent="0.3">
      <c r="A103" s="188" t="s">
        <v>107</v>
      </c>
      <c r="B103" s="171">
        <f>$X$6</f>
        <v>60</v>
      </c>
      <c r="C103" s="210">
        <f>$Y$6</f>
        <v>24</v>
      </c>
      <c r="D103" s="50">
        <f t="shared" si="30"/>
        <v>69120</v>
      </c>
      <c r="E103" s="99">
        <v>4.5999999999999996</v>
      </c>
      <c r="F103" s="50">
        <f t="shared" si="31"/>
        <v>150.2608695652174</v>
      </c>
      <c r="G103" s="172">
        <f>(F103+F103)/2</f>
        <v>150.2608695652174</v>
      </c>
      <c r="H103" s="210"/>
      <c r="I103" s="184">
        <v>5.2</v>
      </c>
      <c r="J103" s="172">
        <f t="shared" si="32"/>
        <v>132.92307692307693</v>
      </c>
      <c r="K103" s="172">
        <f>(J103+J103)/2</f>
        <v>132.92307692307693</v>
      </c>
      <c r="L103" s="248">
        <f>L102/$L$92</f>
        <v>0.12118044421340213</v>
      </c>
      <c r="M103" s="242"/>
      <c r="N103" s="154"/>
      <c r="O103" s="171"/>
      <c r="P103" s="173"/>
    </row>
    <row r="104" spans="1:16" ht="16.2" thickBot="1" x14ac:dyDescent="0.35">
      <c r="A104" s="191" t="s">
        <v>108</v>
      </c>
      <c r="B104" s="171">
        <f>$X$6</f>
        <v>60</v>
      </c>
      <c r="C104" s="210">
        <f>$Y$6</f>
        <v>24</v>
      </c>
      <c r="D104" s="48">
        <f t="shared" si="30"/>
        <v>69120</v>
      </c>
      <c r="E104" s="181">
        <v>4.5999999999999996</v>
      </c>
      <c r="F104" s="48">
        <f t="shared" si="31"/>
        <v>150.2608695652174</v>
      </c>
      <c r="G104" s="182">
        <f>(F104+F104)/2</f>
        <v>150.2608695652174</v>
      </c>
      <c r="H104" s="211"/>
      <c r="I104" s="185">
        <v>5.2</v>
      </c>
      <c r="J104" s="182">
        <f t="shared" si="32"/>
        <v>132.92307692307693</v>
      </c>
      <c r="K104" s="182">
        <f>(J104+J104)/2</f>
        <v>132.92307692307693</v>
      </c>
      <c r="L104" s="183"/>
      <c r="M104" s="243"/>
      <c r="N104" s="155"/>
      <c r="O104" s="180"/>
      <c r="P104" s="183"/>
    </row>
    <row r="105" spans="1:16" ht="16.2" thickBot="1" x14ac:dyDescent="0.35">
      <c r="B105" s="733" t="s">
        <v>171</v>
      </c>
      <c r="C105" s="734"/>
      <c r="D105" s="734"/>
      <c r="E105" s="734"/>
      <c r="F105" s="734"/>
      <c r="G105" s="734"/>
      <c r="H105" s="734"/>
      <c r="I105" s="734"/>
      <c r="J105" s="734"/>
      <c r="K105" s="734"/>
      <c r="L105" s="734"/>
      <c r="M105" s="735"/>
      <c r="N105" s="735"/>
      <c r="O105" s="735"/>
      <c r="P105" s="736"/>
    </row>
    <row r="106" spans="1:16" ht="15.6" x14ac:dyDescent="0.3">
      <c r="A106" s="187" t="s">
        <v>106</v>
      </c>
      <c r="B106" s="165">
        <f>$V$7</f>
        <v>30</v>
      </c>
      <c r="C106" s="166">
        <f>$W$7</f>
        <v>70</v>
      </c>
      <c r="D106" s="166">
        <f t="shared" ref="D106:D111" si="33">B106*C106^3/12</f>
        <v>857500</v>
      </c>
      <c r="E106" s="166">
        <f>'Carichi unitari'!$M$4</f>
        <v>3.2</v>
      </c>
      <c r="F106" s="167">
        <f t="shared" ref="F106:F111" si="34">D106/(100*E106)</f>
        <v>2679.6875</v>
      </c>
      <c r="G106" s="166"/>
      <c r="H106" s="239">
        <f>12*'Carichi unitari'!$P$4*F106/E106^2/1000000/(1+0.5*(F106/G107+F106/G108))</f>
        <v>20.956361969748052</v>
      </c>
      <c r="I106" s="165">
        <f>'Carichi unitari'!$M$4</f>
        <v>3.2</v>
      </c>
      <c r="J106" s="167">
        <f t="shared" ref="J106:J111" si="35">D106/(100*I106)</f>
        <v>2679.6875</v>
      </c>
      <c r="K106" s="166"/>
      <c r="L106" s="168">
        <f>12*'Carichi unitari'!$P$4*J106/I106^2/1000000/(1+0.5*(J106/K107+J106/K108))</f>
        <v>19.002842290856027</v>
      </c>
      <c r="M106" s="195">
        <v>6</v>
      </c>
      <c r="N106" s="169"/>
      <c r="O106" s="170">
        <v>0</v>
      </c>
      <c r="P106" s="168"/>
    </row>
    <row r="107" spans="1:16" ht="15.6" x14ac:dyDescent="0.3">
      <c r="A107" s="188" t="s">
        <v>107</v>
      </c>
      <c r="B107" s="171">
        <f>$T$7</f>
        <v>30</v>
      </c>
      <c r="C107" s="50">
        <f>$U$7</f>
        <v>60</v>
      </c>
      <c r="D107" s="50">
        <f t="shared" si="33"/>
        <v>540000</v>
      </c>
      <c r="E107" s="99">
        <v>4.5999999999999996</v>
      </c>
      <c r="F107" s="172">
        <f t="shared" si="34"/>
        <v>1173.913043478261</v>
      </c>
      <c r="G107" s="172">
        <f>(F107)/2</f>
        <v>586.95652173913049</v>
      </c>
      <c r="H107" s="210"/>
      <c r="I107" s="184">
        <v>5.2</v>
      </c>
      <c r="J107" s="172">
        <f t="shared" si="35"/>
        <v>1038.4615384615386</v>
      </c>
      <c r="K107" s="172">
        <f>(J107)/2</f>
        <v>519.23076923076928</v>
      </c>
      <c r="L107" s="248">
        <f>L106/$L$92</f>
        <v>0.59605336297943301</v>
      </c>
      <c r="M107" s="196"/>
      <c r="N107" s="154"/>
      <c r="O107" s="174"/>
      <c r="P107" s="173"/>
    </row>
    <row r="108" spans="1:16" ht="16.2" thickBot="1" x14ac:dyDescent="0.35">
      <c r="A108" s="189" t="s">
        <v>108</v>
      </c>
      <c r="B108" s="180">
        <f>$T$8</f>
        <v>30</v>
      </c>
      <c r="C108" s="48">
        <f>$U$8</f>
        <v>70</v>
      </c>
      <c r="D108" s="176">
        <f t="shared" si="33"/>
        <v>857500</v>
      </c>
      <c r="E108" s="149">
        <v>4.5999999999999996</v>
      </c>
      <c r="F108" s="177">
        <f t="shared" si="34"/>
        <v>1864.130434782609</v>
      </c>
      <c r="G108" s="177">
        <f>(F108)/2</f>
        <v>932.06521739130449</v>
      </c>
      <c r="H108" s="240"/>
      <c r="I108" s="241">
        <v>5.2</v>
      </c>
      <c r="J108" s="177">
        <f t="shared" si="35"/>
        <v>1649.0384615384614</v>
      </c>
      <c r="K108" s="177">
        <f>(J108)/2</f>
        <v>824.51923076923072</v>
      </c>
      <c r="L108" s="178"/>
      <c r="M108" s="202"/>
      <c r="N108" s="155"/>
      <c r="O108" s="186"/>
      <c r="P108" s="183"/>
    </row>
    <row r="109" spans="1:16" ht="15.6" x14ac:dyDescent="0.3">
      <c r="A109" s="187" t="s">
        <v>106</v>
      </c>
      <c r="B109" s="165">
        <f>$W$7</f>
        <v>70</v>
      </c>
      <c r="C109" s="166">
        <f>$V$7</f>
        <v>30</v>
      </c>
      <c r="D109" s="166">
        <f t="shared" si="33"/>
        <v>157500</v>
      </c>
      <c r="E109" s="166">
        <f>'Carichi unitari'!$M$4</f>
        <v>3.2</v>
      </c>
      <c r="F109" s="167">
        <f t="shared" si="34"/>
        <v>492.1875</v>
      </c>
      <c r="G109" s="167"/>
      <c r="H109" s="239">
        <f>12*'Carichi unitari'!$P$4*F109/E109^2/1000000/(1+0.5*(F109/G110+F109/G111))</f>
        <v>10.793456029188896</v>
      </c>
      <c r="I109" s="165">
        <f>'Carichi unitari'!$M$4</f>
        <v>3.2</v>
      </c>
      <c r="J109" s="167">
        <f t="shared" si="35"/>
        <v>492.1875</v>
      </c>
      <c r="K109" s="167"/>
      <c r="L109" s="168">
        <f>12*'Carichi unitari'!$P$4*J109/I109^2/1000000/(1+0.5*(J109/K110+J109/K111))</f>
        <v>10.250708630059968</v>
      </c>
      <c r="M109" s="195">
        <v>2</v>
      </c>
      <c r="N109" s="169"/>
      <c r="O109" s="170">
        <v>12</v>
      </c>
      <c r="P109" s="168"/>
    </row>
    <row r="110" spans="1:16" ht="15.6" x14ac:dyDescent="0.3">
      <c r="A110" s="188" t="s">
        <v>107</v>
      </c>
      <c r="B110" s="171">
        <f>$T$7</f>
        <v>30</v>
      </c>
      <c r="C110" s="50">
        <f>$U$7</f>
        <v>60</v>
      </c>
      <c r="D110" s="50">
        <f t="shared" si="33"/>
        <v>540000</v>
      </c>
      <c r="E110" s="99">
        <v>4.5999999999999996</v>
      </c>
      <c r="F110" s="172">
        <f t="shared" si="34"/>
        <v>1173.913043478261</v>
      </c>
      <c r="G110" s="172">
        <f>(F110)/2</f>
        <v>586.95652173913049</v>
      </c>
      <c r="H110" s="210"/>
      <c r="I110" s="184">
        <v>5.2</v>
      </c>
      <c r="J110" s="172">
        <f t="shared" si="35"/>
        <v>1038.4615384615386</v>
      </c>
      <c r="K110" s="172">
        <f>(J110)/2</f>
        <v>519.23076923076928</v>
      </c>
      <c r="L110" s="173"/>
      <c r="M110" s="196"/>
      <c r="N110" s="154"/>
      <c r="O110" s="171"/>
      <c r="P110" s="173"/>
    </row>
    <row r="111" spans="1:16" ht="16.2" thickBot="1" x14ac:dyDescent="0.35">
      <c r="A111" s="191" t="s">
        <v>108</v>
      </c>
      <c r="B111" s="180">
        <f>$T$8</f>
        <v>30</v>
      </c>
      <c r="C111" s="48">
        <f>$U$8</f>
        <v>70</v>
      </c>
      <c r="D111" s="48">
        <f t="shared" si="33"/>
        <v>857500</v>
      </c>
      <c r="E111" s="181">
        <v>4.5999999999999996</v>
      </c>
      <c r="F111" s="182">
        <f t="shared" si="34"/>
        <v>1864.130434782609</v>
      </c>
      <c r="G111" s="182">
        <f>(F111)/2</f>
        <v>932.06521739130449</v>
      </c>
      <c r="H111" s="211"/>
      <c r="I111" s="185">
        <v>5.2</v>
      </c>
      <c r="J111" s="182">
        <f t="shared" si="35"/>
        <v>1649.0384615384614</v>
      </c>
      <c r="K111" s="182">
        <f>(J111)/2</f>
        <v>824.51923076923072</v>
      </c>
      <c r="L111" s="183"/>
      <c r="M111" s="202"/>
      <c r="N111" s="155"/>
      <c r="O111" s="180"/>
      <c r="P111" s="183"/>
    </row>
    <row r="112" spans="1:16" ht="16.2" thickBot="1" x14ac:dyDescent="0.35">
      <c r="B112" s="733" t="s">
        <v>172</v>
      </c>
      <c r="C112" s="734"/>
      <c r="D112" s="734"/>
      <c r="E112" s="734"/>
      <c r="F112" s="734"/>
      <c r="G112" s="734"/>
      <c r="H112" s="734"/>
      <c r="I112" s="734"/>
      <c r="J112" s="734"/>
      <c r="K112" s="734"/>
      <c r="L112" s="734"/>
      <c r="M112" s="727"/>
      <c r="N112" s="727"/>
      <c r="O112" s="727"/>
      <c r="P112" s="728"/>
    </row>
    <row r="113" spans="1:16" ht="15.6" x14ac:dyDescent="0.3">
      <c r="A113" s="187" t="s">
        <v>106</v>
      </c>
      <c r="B113" s="165">
        <f>$V$7</f>
        <v>30</v>
      </c>
      <c r="C113" s="166">
        <f>$W$7</f>
        <v>70</v>
      </c>
      <c r="D113" s="166">
        <f t="shared" ref="D113:D118" si="36">B113*C113^3/12</f>
        <v>857500</v>
      </c>
      <c r="E113" s="166">
        <f>'Carichi unitari'!$M$4</f>
        <v>3.2</v>
      </c>
      <c r="F113" s="167">
        <f t="shared" ref="F113:F118" si="37">D113/(100*E113)</f>
        <v>2679.6875</v>
      </c>
      <c r="G113" s="166"/>
      <c r="H113" s="239">
        <f>12*'Carichi unitari'!$P$4*F113/E113^2/1000000/(1+0.5*(F113/G114+F113/G115))</f>
        <v>2.6977331833655067</v>
      </c>
      <c r="I113" s="165">
        <f>'Carichi unitari'!$M$4</f>
        <v>3.2</v>
      </c>
      <c r="J113" s="167">
        <f t="shared" ref="J113:J118" si="38">D113/(100*I113)</f>
        <v>2679.6875</v>
      </c>
      <c r="K113" s="166"/>
      <c r="L113" s="168">
        <f>12*'Carichi unitari'!$P$4*J113/I113^2/1000000/(1+0.5*(J113/K114+J113/K115))</f>
        <v>2.3939897150555232</v>
      </c>
      <c r="M113" s="195">
        <v>0</v>
      </c>
      <c r="N113" s="169"/>
      <c r="O113" s="170">
        <v>0</v>
      </c>
      <c r="P113" s="168"/>
    </row>
    <row r="114" spans="1:16" ht="15.6" x14ac:dyDescent="0.3">
      <c r="A114" s="188" t="s">
        <v>107</v>
      </c>
      <c r="B114" s="171">
        <f>'stima car. unit.'!$U$9*100</f>
        <v>60</v>
      </c>
      <c r="C114" s="210">
        <f>'stima car. unit.'!$T$9*100</f>
        <v>24</v>
      </c>
      <c r="D114" s="50">
        <f t="shared" si="36"/>
        <v>69120</v>
      </c>
      <c r="E114" s="99">
        <v>4.5999999999999996</v>
      </c>
      <c r="F114" s="172">
        <f t="shared" si="37"/>
        <v>150.2608695652174</v>
      </c>
      <c r="G114" s="172">
        <f>(F114)/2</f>
        <v>75.130434782608702</v>
      </c>
      <c r="H114" s="210"/>
      <c r="I114" s="184">
        <v>5.2</v>
      </c>
      <c r="J114" s="172">
        <f t="shared" si="38"/>
        <v>132.92307692307693</v>
      </c>
      <c r="K114" s="172">
        <f>(J114)/2</f>
        <v>66.461538461538467</v>
      </c>
      <c r="L114" s="248">
        <f>L113/$L$92</f>
        <v>7.5091167876694467E-2</v>
      </c>
      <c r="M114" s="196"/>
      <c r="N114" s="154"/>
      <c r="O114" s="174"/>
      <c r="P114" s="173"/>
    </row>
    <row r="115" spans="1:16" ht="16.2" thickBot="1" x14ac:dyDescent="0.35">
      <c r="A115" s="189" t="s">
        <v>108</v>
      </c>
      <c r="B115" s="171">
        <f>'stima car. unit.'!$U$9*100</f>
        <v>60</v>
      </c>
      <c r="C115" s="210">
        <f>'stima car. unit.'!$T$9*100</f>
        <v>24</v>
      </c>
      <c r="D115" s="48">
        <f t="shared" si="36"/>
        <v>69120</v>
      </c>
      <c r="E115" s="181">
        <v>4.5999999999999996</v>
      </c>
      <c r="F115" s="182">
        <f t="shared" si="37"/>
        <v>150.2608695652174</v>
      </c>
      <c r="G115" s="182">
        <f>(F115)/2</f>
        <v>75.130434782608702</v>
      </c>
      <c r="H115" s="211"/>
      <c r="I115" s="241">
        <v>5.2</v>
      </c>
      <c r="J115" s="177">
        <f t="shared" si="38"/>
        <v>132.92307692307693</v>
      </c>
      <c r="K115" s="177">
        <f>(J115)/2</f>
        <v>66.461538461538467</v>
      </c>
      <c r="L115" s="178"/>
      <c r="M115" s="202"/>
      <c r="N115" s="155"/>
      <c r="O115" s="186"/>
      <c r="P115" s="183"/>
    </row>
    <row r="116" spans="1:16" ht="15.6" x14ac:dyDescent="0.3">
      <c r="A116" s="160" t="s">
        <v>106</v>
      </c>
      <c r="B116" s="165">
        <f>$W$7</f>
        <v>70</v>
      </c>
      <c r="C116" s="166">
        <f>$V$7</f>
        <v>30</v>
      </c>
      <c r="D116" s="199">
        <f t="shared" si="36"/>
        <v>157500</v>
      </c>
      <c r="E116" s="199">
        <f>'Carichi unitari'!$M$4</f>
        <v>3.2</v>
      </c>
      <c r="F116" s="200">
        <f t="shared" si="37"/>
        <v>492.1875</v>
      </c>
      <c r="G116" s="200"/>
      <c r="H116" s="246">
        <f>12*'Carichi unitari'!$P$4*F116/E116^2/1000000/(1+0.5*(F116/G117+F116/G118))</f>
        <v>2.4060896883217655</v>
      </c>
      <c r="I116" s="165">
        <f>'Carichi unitari'!$M$4</f>
        <v>3.2</v>
      </c>
      <c r="J116" s="167">
        <f t="shared" si="38"/>
        <v>492.1875</v>
      </c>
      <c r="K116" s="167"/>
      <c r="L116" s="168">
        <f>12*'Carichi unitari'!$P$4*J116/I116^2/1000000/(1+0.5*(J116/K117+J116/K118))</f>
        <v>2.1614926225699014</v>
      </c>
      <c r="M116" s="195">
        <v>2</v>
      </c>
      <c r="N116" s="169"/>
      <c r="O116" s="170">
        <v>0</v>
      </c>
      <c r="P116" s="168"/>
    </row>
    <row r="117" spans="1:16" ht="15.6" x14ac:dyDescent="0.3">
      <c r="A117" s="161" t="s">
        <v>107</v>
      </c>
      <c r="B117" s="171">
        <f>'stima car. unit.'!$U$9*100</f>
        <v>60</v>
      </c>
      <c r="C117" s="210">
        <f>'stima car. unit.'!$T$9*100</f>
        <v>24</v>
      </c>
      <c r="D117" s="50">
        <f t="shared" si="36"/>
        <v>69120</v>
      </c>
      <c r="E117" s="99">
        <v>4.5999999999999996</v>
      </c>
      <c r="F117" s="172">
        <f t="shared" si="37"/>
        <v>150.2608695652174</v>
      </c>
      <c r="G117" s="172">
        <f>(F117)/2</f>
        <v>75.130434782608702</v>
      </c>
      <c r="H117" s="210"/>
      <c r="I117" s="184">
        <v>5.2</v>
      </c>
      <c r="J117" s="172">
        <f t="shared" si="38"/>
        <v>132.92307692307693</v>
      </c>
      <c r="K117" s="172">
        <f>(J117)/2</f>
        <v>66.461538461538467</v>
      </c>
      <c r="L117" s="248">
        <f>L116/$L$92</f>
        <v>6.7798539135273048E-2</v>
      </c>
      <c r="M117" s="196"/>
      <c r="N117" s="154"/>
      <c r="O117" s="171"/>
      <c r="P117" s="173"/>
    </row>
    <row r="118" spans="1:16" ht="16.2" thickBot="1" x14ac:dyDescent="0.35">
      <c r="A118" s="162" t="s">
        <v>108</v>
      </c>
      <c r="B118" s="171">
        <f>'stima car. unit.'!$U$9*100</f>
        <v>60</v>
      </c>
      <c r="C118" s="210">
        <f>'stima car. unit.'!$T$9*100</f>
        <v>24</v>
      </c>
      <c r="D118" s="48">
        <f t="shared" si="36"/>
        <v>69120</v>
      </c>
      <c r="E118" s="181">
        <v>4.5999999999999996</v>
      </c>
      <c r="F118" s="182">
        <f t="shared" si="37"/>
        <v>150.2608695652174</v>
      </c>
      <c r="G118" s="182">
        <f>(F118)/2</f>
        <v>75.130434782608702</v>
      </c>
      <c r="H118" s="211"/>
      <c r="I118" s="185">
        <v>5.2</v>
      </c>
      <c r="J118" s="182">
        <f t="shared" si="38"/>
        <v>132.92307692307693</v>
      </c>
      <c r="K118" s="182">
        <f>(J118)/2</f>
        <v>66.461538461538467</v>
      </c>
      <c r="L118" s="183"/>
      <c r="M118" s="202"/>
      <c r="N118" s="155"/>
      <c r="O118" s="180"/>
      <c r="P118" s="183"/>
    </row>
    <row r="119" spans="1:16" ht="16.2" thickBot="1" x14ac:dyDescent="0.35">
      <c r="B119" s="725" t="s">
        <v>173</v>
      </c>
      <c r="C119" s="726"/>
      <c r="D119" s="726"/>
      <c r="E119" s="726"/>
      <c r="F119" s="726"/>
      <c r="G119" s="726"/>
      <c r="H119" s="726"/>
      <c r="I119" s="734"/>
      <c r="J119" s="734"/>
      <c r="K119" s="734"/>
      <c r="L119" s="734"/>
      <c r="M119" s="726"/>
      <c r="N119" s="726"/>
      <c r="O119" s="726"/>
      <c r="P119" s="737"/>
    </row>
    <row r="120" spans="1:16" ht="15.6" x14ac:dyDescent="0.3">
      <c r="A120" s="187" t="s">
        <v>106</v>
      </c>
      <c r="B120" s="165">
        <f>$V$7</f>
        <v>30</v>
      </c>
      <c r="C120" s="166">
        <f>$W$7</f>
        <v>70</v>
      </c>
      <c r="D120" s="166">
        <f>B120*C120^3/12</f>
        <v>857500</v>
      </c>
      <c r="E120" s="166">
        <f>'Carichi unitari'!$M$4</f>
        <v>3.2</v>
      </c>
      <c r="F120" s="167">
        <f>D120/(100*E120)</f>
        <v>2679.6875</v>
      </c>
      <c r="G120" s="166"/>
      <c r="H120" s="239">
        <f>12*'Carichi unitari'!$P$4*F120/E120^2/1000000/(1+0.5*(F120/G121+F120/G123))</f>
        <v>23.843767519604221</v>
      </c>
      <c r="I120" s="165">
        <f>'Carichi unitari'!$M$4</f>
        <v>3.2</v>
      </c>
      <c r="J120" s="167">
        <f>D120/(100*I120)</f>
        <v>2679.6875</v>
      </c>
      <c r="K120" s="166"/>
      <c r="L120" s="168">
        <f>12*'Carichi unitari'!$P$4*J120/I120^2/1000000/(1+0.5*(J120/K121+J120/K123))</f>
        <v>21.695992771544809</v>
      </c>
      <c r="M120" s="195">
        <v>0</v>
      </c>
      <c r="N120" s="169"/>
      <c r="O120" s="170">
        <v>1</v>
      </c>
      <c r="P120" s="168"/>
    </row>
    <row r="121" spans="1:16" ht="15.6" x14ac:dyDescent="0.3">
      <c r="A121" s="188" t="s">
        <v>107</v>
      </c>
      <c r="B121" s="171">
        <f>$X$5</f>
        <v>100</v>
      </c>
      <c r="C121" s="50">
        <f>$Y$5</f>
        <v>24</v>
      </c>
      <c r="D121" s="50">
        <f t="shared" ref="D121:D129" si="39">B121*C121^3/12</f>
        <v>115200</v>
      </c>
      <c r="E121" s="99">
        <v>4.5999999999999996</v>
      </c>
      <c r="F121" s="172">
        <f t="shared" ref="F121:F129" si="40">D121/(100*E121)</f>
        <v>250.43478260869568</v>
      </c>
      <c r="G121" s="172">
        <f>(F121+F122)/2</f>
        <v>712.17391304347836</v>
      </c>
      <c r="H121" s="210"/>
      <c r="I121" s="184">
        <v>5.2</v>
      </c>
      <c r="J121" s="172">
        <f t="shared" ref="J121:J129" si="41">D121/(100*I121)</f>
        <v>221.53846153846155</v>
      </c>
      <c r="K121" s="172">
        <f>(J121+J122)/2</f>
        <v>630</v>
      </c>
      <c r="L121" s="248">
        <f>L120/$L$92</f>
        <v>0.68052816819300155</v>
      </c>
      <c r="M121" s="196"/>
      <c r="N121" s="154"/>
      <c r="O121" s="174"/>
      <c r="P121" s="173"/>
    </row>
    <row r="122" spans="1:16" ht="15.6" x14ac:dyDescent="0.3">
      <c r="A122" s="189"/>
      <c r="B122" s="171">
        <f>$T$7</f>
        <v>30</v>
      </c>
      <c r="C122" s="50">
        <f>$U$7</f>
        <v>60</v>
      </c>
      <c r="D122" s="50">
        <f t="shared" si="39"/>
        <v>540000</v>
      </c>
      <c r="E122" s="99">
        <v>4.5999999999999996</v>
      </c>
      <c r="F122" s="172">
        <f t="shared" si="40"/>
        <v>1173.913043478261</v>
      </c>
      <c r="G122" s="172"/>
      <c r="H122" s="210"/>
      <c r="I122" s="184">
        <v>5.2</v>
      </c>
      <c r="J122" s="172">
        <f t="shared" si="41"/>
        <v>1038.4615384615386</v>
      </c>
      <c r="K122" s="172"/>
      <c r="L122" s="173"/>
      <c r="M122" s="196"/>
      <c r="N122" s="154"/>
      <c r="O122" s="174"/>
      <c r="P122" s="173"/>
    </row>
    <row r="123" spans="1:16" ht="15.6" x14ac:dyDescent="0.3">
      <c r="A123" s="189" t="s">
        <v>108</v>
      </c>
      <c r="B123" s="171">
        <f>$X$5</f>
        <v>100</v>
      </c>
      <c r="C123" s="50">
        <f>$Y$5</f>
        <v>24</v>
      </c>
      <c r="D123" s="50">
        <f t="shared" si="39"/>
        <v>115200</v>
      </c>
      <c r="E123" s="99">
        <v>4.5999999999999996</v>
      </c>
      <c r="F123" s="172">
        <f t="shared" si="40"/>
        <v>250.43478260869568</v>
      </c>
      <c r="G123" s="172">
        <f>(F123+F124)/2</f>
        <v>1057.2826086956522</v>
      </c>
      <c r="H123" s="210"/>
      <c r="I123" s="184">
        <v>5.2</v>
      </c>
      <c r="J123" s="172">
        <f t="shared" si="41"/>
        <v>221.53846153846155</v>
      </c>
      <c r="K123" s="172">
        <f>(J123+J124)/2</f>
        <v>935.28846153846143</v>
      </c>
      <c r="L123" s="173"/>
      <c r="M123" s="196"/>
      <c r="N123" s="154"/>
      <c r="O123" s="174"/>
      <c r="P123" s="173"/>
    </row>
    <row r="124" spans="1:16" ht="16.2" thickBot="1" x14ac:dyDescent="0.35">
      <c r="A124" s="190"/>
      <c r="B124" s="175">
        <f>$T$8</f>
        <v>30</v>
      </c>
      <c r="C124" s="176">
        <f>$U$8</f>
        <v>70</v>
      </c>
      <c r="D124" s="176">
        <f t="shared" si="39"/>
        <v>857500</v>
      </c>
      <c r="E124" s="149">
        <v>4.5999999999999996</v>
      </c>
      <c r="F124" s="177">
        <f t="shared" si="40"/>
        <v>1864.130434782609</v>
      </c>
      <c r="G124" s="177"/>
      <c r="H124" s="240"/>
      <c r="I124" s="241">
        <v>5.2</v>
      </c>
      <c r="J124" s="177">
        <f t="shared" si="41"/>
        <v>1649.0384615384614</v>
      </c>
      <c r="K124" s="177"/>
      <c r="L124" s="178"/>
      <c r="M124" s="202"/>
      <c r="N124" s="155"/>
      <c r="O124" s="186"/>
      <c r="P124" s="183"/>
    </row>
    <row r="125" spans="1:16" ht="15.6" x14ac:dyDescent="0.3">
      <c r="A125" s="187" t="s">
        <v>106</v>
      </c>
      <c r="B125" s="165">
        <f>$W$7</f>
        <v>70</v>
      </c>
      <c r="C125" s="166">
        <f>$V$7</f>
        <v>30</v>
      </c>
      <c r="D125" s="166">
        <f t="shared" si="39"/>
        <v>157500</v>
      </c>
      <c r="E125" s="166">
        <f>'Carichi unitari'!$M$4</f>
        <v>3.2</v>
      </c>
      <c r="F125" s="167">
        <f t="shared" si="40"/>
        <v>492.1875</v>
      </c>
      <c r="G125" s="167"/>
      <c r="H125" s="239">
        <f>12*'Carichi unitari'!$P$4*F125/E125^2/1000000/(1+0.5*(F125/G126+F125/G128))</f>
        <v>11.24276446915461</v>
      </c>
      <c r="I125" s="165">
        <f>'Carichi unitari'!$M$4</f>
        <v>3.2</v>
      </c>
      <c r="J125" s="167">
        <f t="shared" si="41"/>
        <v>492.1875</v>
      </c>
      <c r="K125" s="167"/>
      <c r="L125" s="168">
        <f>12*'Carichi unitari'!$P$4*J125/I125^2/1000000/(1+0.5*(J125/K126+J125/K128))</f>
        <v>10.710233784164373</v>
      </c>
      <c r="M125" s="195">
        <v>4</v>
      </c>
      <c r="N125" s="169"/>
      <c r="O125" s="170">
        <v>1</v>
      </c>
      <c r="P125" s="168"/>
    </row>
    <row r="126" spans="1:16" ht="15.6" x14ac:dyDescent="0.3">
      <c r="A126" s="188" t="s">
        <v>107</v>
      </c>
      <c r="B126" s="171">
        <f>'stima car. unit.'!$U$9*100</f>
        <v>60</v>
      </c>
      <c r="C126" s="210">
        <f>'stima car. unit.'!$T$9*100</f>
        <v>24</v>
      </c>
      <c r="D126" s="50">
        <f t="shared" si="39"/>
        <v>69120</v>
      </c>
      <c r="E126" s="99">
        <v>4.5999999999999996</v>
      </c>
      <c r="F126" s="172">
        <f t="shared" si="40"/>
        <v>150.2608695652174</v>
      </c>
      <c r="G126" s="172">
        <f>(F126+F127)/2</f>
        <v>662.08695652173924</v>
      </c>
      <c r="H126" s="210"/>
      <c r="I126" s="184">
        <v>5.2</v>
      </c>
      <c r="J126" s="172">
        <f t="shared" si="41"/>
        <v>132.92307692307693</v>
      </c>
      <c r="K126" s="172">
        <f>(J126+J127)/2</f>
        <v>585.69230769230774</v>
      </c>
      <c r="L126" s="248">
        <f>L125/$L$92</f>
        <v>0.33594294830405275</v>
      </c>
      <c r="M126" s="196"/>
      <c r="N126" s="154"/>
      <c r="O126" s="171"/>
      <c r="P126" s="173"/>
    </row>
    <row r="127" spans="1:16" x14ac:dyDescent="0.3">
      <c r="B127" s="171">
        <f>$T$7</f>
        <v>30</v>
      </c>
      <c r="C127" s="50">
        <f>$U$7</f>
        <v>60</v>
      </c>
      <c r="D127" s="50">
        <f t="shared" si="39"/>
        <v>540000</v>
      </c>
      <c r="E127" s="99">
        <v>4.5999999999999996</v>
      </c>
      <c r="F127" s="172">
        <f t="shared" si="40"/>
        <v>1173.913043478261</v>
      </c>
      <c r="G127" s="97"/>
      <c r="H127" s="244"/>
      <c r="I127" s="184">
        <v>5.2</v>
      </c>
      <c r="J127" s="172">
        <f t="shared" si="41"/>
        <v>1038.4615384615386</v>
      </c>
      <c r="K127" s="97"/>
      <c r="L127" s="117"/>
      <c r="M127" s="203"/>
      <c r="N127" s="117"/>
      <c r="O127" s="193"/>
      <c r="P127" s="117"/>
    </row>
    <row r="128" spans="1:16" ht="16.2" thickBot="1" x14ac:dyDescent="0.35">
      <c r="A128" s="191" t="s">
        <v>108</v>
      </c>
      <c r="B128" s="171">
        <f>'stima car. unit.'!$U$9*100</f>
        <v>60</v>
      </c>
      <c r="C128" s="210">
        <f>'stima car. unit.'!$T$9*100</f>
        <v>24</v>
      </c>
      <c r="D128" s="50">
        <f t="shared" si="39"/>
        <v>69120</v>
      </c>
      <c r="E128" s="99">
        <v>4.5999999999999996</v>
      </c>
      <c r="F128" s="172">
        <f t="shared" si="40"/>
        <v>150.2608695652174</v>
      </c>
      <c r="G128" s="172">
        <f>(F128+F129)/2</f>
        <v>1007.1956521739132</v>
      </c>
      <c r="H128" s="210"/>
      <c r="I128" s="184">
        <v>5.2</v>
      </c>
      <c r="J128" s="172">
        <f t="shared" si="41"/>
        <v>132.92307692307693</v>
      </c>
      <c r="K128" s="172">
        <f>(J128+J129)/2</f>
        <v>890.98076923076917</v>
      </c>
      <c r="L128" s="173"/>
      <c r="M128" s="196"/>
      <c r="N128" s="154"/>
      <c r="O128" s="171"/>
      <c r="P128" s="173"/>
    </row>
    <row r="129" spans="1:16" ht="15" thickBot="1" x14ac:dyDescent="0.35">
      <c r="B129" s="180">
        <f>$T$8</f>
        <v>30</v>
      </c>
      <c r="C129" s="48">
        <f>$U$8</f>
        <v>70</v>
      </c>
      <c r="D129" s="48">
        <f t="shared" si="39"/>
        <v>857500</v>
      </c>
      <c r="E129" s="181">
        <v>4.5999999999999996</v>
      </c>
      <c r="F129" s="182">
        <f t="shared" si="40"/>
        <v>1864.130434782609</v>
      </c>
      <c r="G129" s="36"/>
      <c r="H129" s="245"/>
      <c r="I129" s="185">
        <v>5.2</v>
      </c>
      <c r="J129" s="182">
        <f t="shared" si="41"/>
        <v>1649.0384615384614</v>
      </c>
      <c r="K129" s="36"/>
      <c r="L129" s="192"/>
      <c r="M129" s="204"/>
      <c r="N129" s="192"/>
      <c r="O129" s="194"/>
      <c r="P129" s="192"/>
    </row>
    <row r="131" spans="1:16" ht="15" thickBot="1" x14ac:dyDescent="0.35"/>
    <row r="132" spans="1:16" ht="16.2" thickBot="1" x14ac:dyDescent="0.35">
      <c r="A132" s="1"/>
      <c r="B132" s="720" t="s">
        <v>159</v>
      </c>
      <c r="C132" s="721"/>
      <c r="D132" s="721"/>
      <c r="E132" s="721"/>
      <c r="F132" s="721"/>
      <c r="G132" s="721"/>
      <c r="H132" s="722"/>
      <c r="I132" s="212"/>
      <c r="J132" s="212"/>
      <c r="K132" s="212"/>
      <c r="L132" s="212"/>
      <c r="M132" s="723" t="s">
        <v>112</v>
      </c>
      <c r="N132" s="724"/>
      <c r="O132" s="723" t="s">
        <v>162</v>
      </c>
      <c r="P132" s="724"/>
    </row>
    <row r="133" spans="1:16" ht="19.2" thickBot="1" x14ac:dyDescent="0.35">
      <c r="B133" s="156" t="s">
        <v>109</v>
      </c>
      <c r="C133" s="157" t="s">
        <v>110</v>
      </c>
      <c r="D133" s="157" t="s">
        <v>153</v>
      </c>
      <c r="E133" s="157" t="s">
        <v>113</v>
      </c>
      <c r="F133" s="157" t="s">
        <v>164</v>
      </c>
      <c r="G133" s="157"/>
      <c r="H133" s="158" t="s">
        <v>152</v>
      </c>
      <c r="I133" s="157" t="s">
        <v>113</v>
      </c>
      <c r="J133" s="157" t="s">
        <v>164</v>
      </c>
      <c r="K133" s="157"/>
      <c r="L133" s="158" t="s">
        <v>152</v>
      </c>
      <c r="M133" s="156" t="s">
        <v>111</v>
      </c>
      <c r="N133" s="159" t="s">
        <v>170</v>
      </c>
      <c r="O133" s="156" t="s">
        <v>111</v>
      </c>
      <c r="P133" s="159" t="s">
        <v>170</v>
      </c>
    </row>
    <row r="134" spans="1:16" ht="16.2" thickBot="1" x14ac:dyDescent="0.35">
      <c r="B134" s="725" t="s">
        <v>163</v>
      </c>
      <c r="C134" s="726"/>
      <c r="D134" s="726"/>
      <c r="E134" s="726"/>
      <c r="F134" s="726"/>
      <c r="G134" s="726"/>
      <c r="H134" s="726"/>
      <c r="I134" s="726"/>
      <c r="J134" s="726"/>
      <c r="K134" s="726"/>
      <c r="L134" s="726"/>
      <c r="M134" s="727"/>
      <c r="N134" s="727"/>
      <c r="O134" s="727"/>
      <c r="P134" s="728"/>
    </row>
    <row r="135" spans="1:16" ht="15.6" x14ac:dyDescent="0.3">
      <c r="A135" s="187" t="s">
        <v>106</v>
      </c>
      <c r="B135" s="165">
        <f>$V$8</f>
        <v>30</v>
      </c>
      <c r="C135" s="166">
        <f>$W$8</f>
        <v>70</v>
      </c>
      <c r="D135" s="166">
        <f t="shared" ref="D135:D140" si="42">B135*C135^3/12</f>
        <v>857500</v>
      </c>
      <c r="E135" s="166">
        <f>'Carichi unitari'!$M$4</f>
        <v>3.2</v>
      </c>
      <c r="F135" s="167">
        <f t="shared" ref="F135:F140" si="43">D135/(100*E135)</f>
        <v>2679.6875</v>
      </c>
      <c r="G135" s="166"/>
      <c r="H135" s="239">
        <f>12*'Carichi unitari'!$P$4*F135/E135^2/1000000/(1+0.5*(F135/G136+F135/G137))</f>
        <v>40.581805889423073</v>
      </c>
      <c r="I135" s="165">
        <f>'Carichi unitari'!$M$4</f>
        <v>3.2</v>
      </c>
      <c r="J135" s="167">
        <f t="shared" ref="J135:J140" si="44">D135/(100*I135)</f>
        <v>2679.6875</v>
      </c>
      <c r="K135" s="166"/>
      <c r="L135" s="168">
        <f>12*'Carichi unitari'!$P$4*J135/I135^2/1000000/(1+0.5*(J135/K136+J135/K137))</f>
        <v>37.683105468749993</v>
      </c>
      <c r="M135" s="195">
        <v>7</v>
      </c>
      <c r="N135" s="168">
        <f>H135*M135+H138*M138+H142*M142+H145*M145+H149*M149+H152*M152+H156*M156+H159*M159+H163*M163+H168*M168</f>
        <v>538.52203625445554</v>
      </c>
      <c r="O135" s="170">
        <v>9</v>
      </c>
      <c r="P135" s="168">
        <f>L135*O135+L138*O138+L145*O145+L149*O149+L152*O152+L156*O156+L159*O159+L163*O163+L142*O142+L168*O168</f>
        <v>526.96251461390204</v>
      </c>
    </row>
    <row r="136" spans="1:16" ht="15.6" x14ac:dyDescent="0.3">
      <c r="A136" s="188" t="s">
        <v>107</v>
      </c>
      <c r="B136" s="171">
        <f>$T$8</f>
        <v>30</v>
      </c>
      <c r="C136" s="50">
        <f>$U$8</f>
        <v>70</v>
      </c>
      <c r="D136" s="50">
        <f t="shared" si="42"/>
        <v>857500</v>
      </c>
      <c r="E136" s="99">
        <v>4.5999999999999996</v>
      </c>
      <c r="F136" s="172">
        <f t="shared" si="43"/>
        <v>1864.130434782609</v>
      </c>
      <c r="G136" s="172">
        <f>(F136+F136)/2</f>
        <v>1864.130434782609</v>
      </c>
      <c r="H136" s="210"/>
      <c r="I136" s="184">
        <v>5.2</v>
      </c>
      <c r="J136" s="172">
        <f t="shared" si="44"/>
        <v>1649.0384615384614</v>
      </c>
      <c r="K136" s="172">
        <f>(J136+J136)/2</f>
        <v>1649.0384615384614</v>
      </c>
      <c r="L136" s="247">
        <f>L135/L135</f>
        <v>1</v>
      </c>
      <c r="M136" s="196"/>
      <c r="N136" s="248">
        <f>N135/H135</f>
        <v>13.270036274921214</v>
      </c>
      <c r="O136" s="174"/>
      <c r="P136" s="248">
        <f>P135/L135</f>
        <v>13.984052218066363</v>
      </c>
    </row>
    <row r="137" spans="1:16" ht="16.2" thickBot="1" x14ac:dyDescent="0.35">
      <c r="A137" s="189" t="s">
        <v>108</v>
      </c>
      <c r="B137" s="180">
        <f>$T$9</f>
        <v>30</v>
      </c>
      <c r="C137" s="48">
        <f>$U$9</f>
        <v>70</v>
      </c>
      <c r="D137" s="48">
        <f t="shared" si="42"/>
        <v>857500</v>
      </c>
      <c r="E137" s="181">
        <v>4.5999999999999996</v>
      </c>
      <c r="F137" s="182">
        <f t="shared" si="43"/>
        <v>1864.130434782609</v>
      </c>
      <c r="G137" s="182">
        <f>(F137+F137)/2</f>
        <v>1864.130434782609</v>
      </c>
      <c r="H137" s="211"/>
      <c r="I137" s="241">
        <v>5.2</v>
      </c>
      <c r="J137" s="177">
        <f t="shared" si="44"/>
        <v>1649.0384615384614</v>
      </c>
      <c r="K137" s="177">
        <f>(J137+J137)/2</f>
        <v>1649.0384615384614</v>
      </c>
      <c r="L137" s="178"/>
      <c r="M137" s="197"/>
      <c r="N137" s="164"/>
      <c r="O137" s="179"/>
      <c r="P137" s="178"/>
    </row>
    <row r="138" spans="1:16" ht="15.6" x14ac:dyDescent="0.3">
      <c r="A138" s="187" t="s">
        <v>106</v>
      </c>
      <c r="B138" s="165">
        <f>$W$8</f>
        <v>70</v>
      </c>
      <c r="C138" s="166">
        <f>$V$8</f>
        <v>30</v>
      </c>
      <c r="D138" s="166">
        <f t="shared" si="42"/>
        <v>157500</v>
      </c>
      <c r="E138" s="166">
        <f>'Carichi unitari'!$M$4</f>
        <v>3.2</v>
      </c>
      <c r="F138" s="167">
        <f t="shared" si="43"/>
        <v>492.1875</v>
      </c>
      <c r="G138" s="167"/>
      <c r="H138" s="239">
        <f>12*'Carichi unitari'!$P$4*F138/E138^2/1000000/(1+0.5*(F138/G139+F138/G140))</f>
        <v>14.373576051652369</v>
      </c>
      <c r="I138" s="165">
        <f>'Carichi unitari'!$M$4</f>
        <v>3.2</v>
      </c>
      <c r="J138" s="167">
        <f t="shared" si="44"/>
        <v>492.1875</v>
      </c>
      <c r="K138" s="167"/>
      <c r="L138" s="168">
        <f>12*'Carichi unitari'!$P$4*J138/I138^2/1000000/(1+0.5*(J138/K139+J138/K140))</f>
        <v>13.992351539476912</v>
      </c>
      <c r="M138" s="195">
        <v>1</v>
      </c>
      <c r="N138" s="169"/>
      <c r="O138" s="170">
        <v>1</v>
      </c>
      <c r="P138" s="168"/>
    </row>
    <row r="139" spans="1:16" ht="15.6" x14ac:dyDescent="0.3">
      <c r="A139" s="188" t="s">
        <v>107</v>
      </c>
      <c r="B139" s="171">
        <f>$T$8</f>
        <v>30</v>
      </c>
      <c r="C139" s="50">
        <f>$U$8</f>
        <v>70</v>
      </c>
      <c r="D139" s="50">
        <f t="shared" si="42"/>
        <v>857500</v>
      </c>
      <c r="E139" s="99">
        <v>4.5999999999999996</v>
      </c>
      <c r="F139" s="172">
        <f t="shared" si="43"/>
        <v>1864.130434782609</v>
      </c>
      <c r="G139" s="172">
        <f>(F139+F139)/2</f>
        <v>1864.130434782609</v>
      </c>
      <c r="H139" s="210"/>
      <c r="I139" s="184">
        <v>5.2</v>
      </c>
      <c r="J139" s="172">
        <f t="shared" si="44"/>
        <v>1649.0384615384614</v>
      </c>
      <c r="K139" s="172">
        <f>(J139+J139)/2</f>
        <v>1649.0384615384614</v>
      </c>
      <c r="L139" s="248">
        <f>L138/$L$135</f>
        <v>0.37131630648330055</v>
      </c>
      <c r="M139" s="196"/>
      <c r="N139" s="154"/>
      <c r="O139" s="171"/>
      <c r="P139" s="173"/>
    </row>
    <row r="140" spans="1:16" ht="16.2" thickBot="1" x14ac:dyDescent="0.35">
      <c r="A140" s="191" t="s">
        <v>108</v>
      </c>
      <c r="B140" s="180">
        <f>$T$9</f>
        <v>30</v>
      </c>
      <c r="C140" s="48">
        <f>$U$9</f>
        <v>70</v>
      </c>
      <c r="D140" s="48">
        <f t="shared" si="42"/>
        <v>857500</v>
      </c>
      <c r="E140" s="181">
        <v>4.5999999999999996</v>
      </c>
      <c r="F140" s="182">
        <f t="shared" si="43"/>
        <v>1864.130434782609</v>
      </c>
      <c r="G140" s="182">
        <f>(F140+F140)/2</f>
        <v>1864.130434782609</v>
      </c>
      <c r="H140" s="211"/>
      <c r="I140" s="185">
        <v>5.2</v>
      </c>
      <c r="J140" s="182">
        <f t="shared" si="44"/>
        <v>1649.0384615384614</v>
      </c>
      <c r="K140" s="182">
        <f>(J140+J140)/2</f>
        <v>1649.0384615384614</v>
      </c>
      <c r="L140" s="183"/>
      <c r="M140" s="202"/>
      <c r="N140" s="155"/>
      <c r="O140" s="180"/>
      <c r="P140" s="183"/>
    </row>
    <row r="141" spans="1:16" ht="16.2" thickBot="1" x14ac:dyDescent="0.35">
      <c r="B141" s="729" t="s">
        <v>168</v>
      </c>
      <c r="C141" s="730"/>
      <c r="D141" s="730"/>
      <c r="E141" s="730"/>
      <c r="F141" s="730"/>
      <c r="G141" s="730"/>
      <c r="H141" s="730"/>
      <c r="I141" s="730"/>
      <c r="J141" s="730"/>
      <c r="K141" s="730"/>
      <c r="L141" s="730"/>
      <c r="M141" s="731"/>
      <c r="N141" s="731"/>
      <c r="O141" s="731"/>
      <c r="P141" s="732"/>
    </row>
    <row r="142" spans="1:16" ht="15.6" x14ac:dyDescent="0.3">
      <c r="A142" s="187" t="s">
        <v>106</v>
      </c>
      <c r="B142" s="165">
        <f>$V$8</f>
        <v>30</v>
      </c>
      <c r="C142" s="166">
        <f>$W$8</f>
        <v>70</v>
      </c>
      <c r="D142" s="166">
        <f t="shared" ref="D142:D147" si="45">B142*C142^3/12</f>
        <v>857500</v>
      </c>
      <c r="E142" s="166">
        <f>'Carichi unitari'!$M$4</f>
        <v>3.2</v>
      </c>
      <c r="F142" s="167">
        <f t="shared" ref="F142:F147" si="46">D142/(100*E142)</f>
        <v>2679.6875</v>
      </c>
      <c r="G142" s="166"/>
      <c r="H142" s="239">
        <f>12*'Carichi unitari'!$P$4*F142/E142^2/1000000/(1+0.5*(F142/G143+F142/G144))</f>
        <v>5.252225684905528</v>
      </c>
      <c r="I142" s="165">
        <f>'Carichi unitari'!$M$4</f>
        <v>3.2</v>
      </c>
      <c r="J142" s="167">
        <f t="shared" ref="J142:J147" si="47">D142/(100*I142)</f>
        <v>2679.6875</v>
      </c>
      <c r="K142" s="166"/>
      <c r="L142" s="168">
        <f>12*'Carichi unitari'!$P$4*J142/I142^2/1000000/(1+0.5*(J142/K143+J142/K144))</f>
        <v>4.674840241323845</v>
      </c>
      <c r="M142" s="195">
        <v>1</v>
      </c>
      <c r="N142" s="168"/>
      <c r="O142" s="170">
        <v>0</v>
      </c>
      <c r="P142" s="168"/>
    </row>
    <row r="143" spans="1:16" ht="15.6" x14ac:dyDescent="0.3">
      <c r="A143" s="188" t="s">
        <v>107</v>
      </c>
      <c r="B143" s="171">
        <f>'stima car. unit.'!$U$9*100</f>
        <v>60</v>
      </c>
      <c r="C143" s="210">
        <f>'stima car. unit.'!$T$9*100</f>
        <v>24</v>
      </c>
      <c r="D143" s="50">
        <f t="shared" si="45"/>
        <v>69120</v>
      </c>
      <c r="E143" s="99">
        <v>4.5999999999999996</v>
      </c>
      <c r="F143" s="172">
        <f t="shared" si="46"/>
        <v>150.2608695652174</v>
      </c>
      <c r="G143" s="172">
        <f>(F143+F143)/2</f>
        <v>150.2608695652174</v>
      </c>
      <c r="H143" s="210"/>
      <c r="I143" s="184">
        <v>5.2</v>
      </c>
      <c r="J143" s="172">
        <f t="shared" si="47"/>
        <v>132.92307692307693</v>
      </c>
      <c r="K143" s="172">
        <f>(J143+J143)/2</f>
        <v>132.92307692307693</v>
      </c>
      <c r="L143" s="248">
        <f>L142/$L$135</f>
        <v>0.12405666102016503</v>
      </c>
      <c r="M143" s="196"/>
      <c r="N143" s="154"/>
      <c r="O143" s="174"/>
      <c r="P143" s="173"/>
    </row>
    <row r="144" spans="1:16" ht="16.2" thickBot="1" x14ac:dyDescent="0.35">
      <c r="A144" s="189" t="s">
        <v>108</v>
      </c>
      <c r="B144" s="171">
        <f>'stima car. unit.'!$U$9*100</f>
        <v>60</v>
      </c>
      <c r="C144" s="210">
        <f>'stima car. unit.'!$T$9*100</f>
        <v>24</v>
      </c>
      <c r="D144" s="48">
        <f t="shared" si="45"/>
        <v>69120</v>
      </c>
      <c r="E144" s="181">
        <v>4.5999999999999996</v>
      </c>
      <c r="F144" s="182">
        <f t="shared" si="46"/>
        <v>150.2608695652174</v>
      </c>
      <c r="G144" s="182">
        <f>(F144+F144)/2</f>
        <v>150.2608695652174</v>
      </c>
      <c r="H144" s="211"/>
      <c r="I144" s="241">
        <v>5.2</v>
      </c>
      <c r="J144" s="177">
        <f t="shared" si="47"/>
        <v>132.92307692307693</v>
      </c>
      <c r="K144" s="177">
        <f>(J144+J144)/2</f>
        <v>132.92307692307693</v>
      </c>
      <c r="L144" s="178"/>
      <c r="M144" s="202"/>
      <c r="N144" s="155"/>
      <c r="O144" s="186"/>
      <c r="P144" s="183"/>
    </row>
    <row r="145" spans="1:16" ht="15.6" x14ac:dyDescent="0.3">
      <c r="A145" s="187" t="s">
        <v>106</v>
      </c>
      <c r="B145" s="165">
        <f>$W$8</f>
        <v>70</v>
      </c>
      <c r="C145" s="166">
        <f>$V$8</f>
        <v>30</v>
      </c>
      <c r="D145" s="166">
        <f t="shared" si="45"/>
        <v>157500</v>
      </c>
      <c r="E145" s="166">
        <f>'Carichi unitari'!$M$4</f>
        <v>3.2</v>
      </c>
      <c r="F145" s="166">
        <f t="shared" si="46"/>
        <v>492.1875</v>
      </c>
      <c r="G145" s="166"/>
      <c r="H145" s="239">
        <f>12*'Carichi unitari'!$P$4*F145/E145^2/1000000/(1+0.5*(F145/G146+F145/G147))</f>
        <v>4.2494242262743152</v>
      </c>
      <c r="I145" s="165">
        <f>'Carichi unitari'!$M$4</f>
        <v>3.2</v>
      </c>
      <c r="J145" s="167">
        <f t="shared" si="47"/>
        <v>492.1875</v>
      </c>
      <c r="K145" s="166"/>
      <c r="L145" s="168">
        <f>12*'Carichi unitari'!$P$4*J145/I145^2/1000000/(1+0.5*(J145/K146+J145/K147))</f>
        <v>3.8633669619990307</v>
      </c>
      <c r="M145" s="195">
        <v>1</v>
      </c>
      <c r="N145" s="169"/>
      <c r="O145" s="165">
        <v>0</v>
      </c>
      <c r="P145" s="168"/>
    </row>
    <row r="146" spans="1:16" ht="15.6" x14ac:dyDescent="0.3">
      <c r="A146" s="188" t="s">
        <v>107</v>
      </c>
      <c r="B146" s="171">
        <f>'stima car. unit.'!$U$9*100</f>
        <v>60</v>
      </c>
      <c r="C146" s="210">
        <f>'stima car. unit.'!$T$9*100</f>
        <v>24</v>
      </c>
      <c r="D146" s="50">
        <f t="shared" si="45"/>
        <v>69120</v>
      </c>
      <c r="E146" s="99">
        <v>4.5999999999999996</v>
      </c>
      <c r="F146" s="50">
        <f t="shared" si="46"/>
        <v>150.2608695652174</v>
      </c>
      <c r="G146" s="172">
        <f>(F146+F146)/2</f>
        <v>150.2608695652174</v>
      </c>
      <c r="H146" s="210"/>
      <c r="I146" s="184">
        <v>5.2</v>
      </c>
      <c r="J146" s="172">
        <f t="shared" si="47"/>
        <v>132.92307692307693</v>
      </c>
      <c r="K146" s="172">
        <f>(J146+J146)/2</f>
        <v>132.92307692307693</v>
      </c>
      <c r="L146" s="248">
        <f>L145/$L$135</f>
        <v>0.10252252074083598</v>
      </c>
      <c r="M146" s="242"/>
      <c r="N146" s="154"/>
      <c r="O146" s="171"/>
      <c r="P146" s="173"/>
    </row>
    <row r="147" spans="1:16" ht="16.2" thickBot="1" x14ac:dyDescent="0.35">
      <c r="A147" s="191" t="s">
        <v>108</v>
      </c>
      <c r="B147" s="171">
        <f>'stima car. unit.'!$U$9*100</f>
        <v>60</v>
      </c>
      <c r="C147" s="210">
        <f>'stima car. unit.'!$T$9*100</f>
        <v>24</v>
      </c>
      <c r="D147" s="48">
        <f t="shared" si="45"/>
        <v>69120</v>
      </c>
      <c r="E147" s="181">
        <v>4.5999999999999996</v>
      </c>
      <c r="F147" s="48">
        <f t="shared" si="46"/>
        <v>150.2608695652174</v>
      </c>
      <c r="G147" s="182">
        <f>(F147+F147)/2</f>
        <v>150.2608695652174</v>
      </c>
      <c r="H147" s="211"/>
      <c r="I147" s="185">
        <v>5.2</v>
      </c>
      <c r="J147" s="182">
        <f t="shared" si="47"/>
        <v>132.92307692307693</v>
      </c>
      <c r="K147" s="182">
        <f>(J147+J147)/2</f>
        <v>132.92307692307693</v>
      </c>
      <c r="L147" s="183"/>
      <c r="M147" s="243"/>
      <c r="N147" s="155"/>
      <c r="O147" s="180"/>
      <c r="P147" s="183"/>
    </row>
    <row r="148" spans="1:16" ht="16.2" thickBot="1" x14ac:dyDescent="0.35">
      <c r="B148" s="733" t="s">
        <v>171</v>
      </c>
      <c r="C148" s="734"/>
      <c r="D148" s="734"/>
      <c r="E148" s="734"/>
      <c r="F148" s="734"/>
      <c r="G148" s="734"/>
      <c r="H148" s="734"/>
      <c r="I148" s="734"/>
      <c r="J148" s="734"/>
      <c r="K148" s="734"/>
      <c r="L148" s="734"/>
      <c r="M148" s="735"/>
      <c r="N148" s="735"/>
      <c r="O148" s="735"/>
      <c r="P148" s="736"/>
    </row>
    <row r="149" spans="1:16" ht="15.6" x14ac:dyDescent="0.3">
      <c r="A149" s="187" t="s">
        <v>106</v>
      </c>
      <c r="B149" s="165">
        <f>$V$8</f>
        <v>30</v>
      </c>
      <c r="C149" s="166">
        <f>$W$8</f>
        <v>70</v>
      </c>
      <c r="D149" s="166">
        <f t="shared" ref="D149:D154" si="48">B149*C149^3/12</f>
        <v>857500</v>
      </c>
      <c r="E149" s="166">
        <f>'Carichi unitari'!$M$4</f>
        <v>3.2</v>
      </c>
      <c r="F149" s="167">
        <f t="shared" ref="F149:F154" si="49">D149/(100*E149)</f>
        <v>2679.6875</v>
      </c>
      <c r="G149" s="166"/>
      <c r="H149" s="239">
        <f>12*'Carichi unitari'!$P$4*F149/E149^2/1000000/(1+0.5*(F149/G150+F149/G151))</f>
        <v>25.527264994959676</v>
      </c>
      <c r="I149" s="165">
        <f>'Carichi unitari'!$M$4</f>
        <v>3.2</v>
      </c>
      <c r="J149" s="167">
        <f t="shared" ref="J149:J154" si="50">D149/(100*I149)</f>
        <v>2679.6875</v>
      </c>
      <c r="K149" s="166"/>
      <c r="L149" s="168">
        <f>12*'Carichi unitari'!$P$4*J149/I149^2/1000000/(1+0.5*(J149/K150+J149/K151))</f>
        <v>23.27485926011029</v>
      </c>
      <c r="M149" s="195">
        <v>6</v>
      </c>
      <c r="N149" s="169"/>
      <c r="O149" s="170">
        <v>0</v>
      </c>
      <c r="P149" s="168"/>
    </row>
    <row r="150" spans="1:16" ht="15.6" x14ac:dyDescent="0.3">
      <c r="A150" s="188" t="s">
        <v>107</v>
      </c>
      <c r="B150" s="171">
        <f>$T$8</f>
        <v>30</v>
      </c>
      <c r="C150" s="50">
        <f>$U$8</f>
        <v>70</v>
      </c>
      <c r="D150" s="50">
        <f t="shared" si="48"/>
        <v>857500</v>
      </c>
      <c r="E150" s="99">
        <v>4.5999999999999996</v>
      </c>
      <c r="F150" s="172">
        <f t="shared" si="49"/>
        <v>1864.130434782609</v>
      </c>
      <c r="G150" s="172">
        <f>(F150)/2</f>
        <v>932.06521739130449</v>
      </c>
      <c r="H150" s="210"/>
      <c r="I150" s="184">
        <v>5.2</v>
      </c>
      <c r="J150" s="172">
        <f t="shared" si="50"/>
        <v>1649.0384615384614</v>
      </c>
      <c r="K150" s="172">
        <f>(J150)/2</f>
        <v>824.51923076923072</v>
      </c>
      <c r="L150" s="248">
        <f>L149/$L$135</f>
        <v>0.61764705882352944</v>
      </c>
      <c r="M150" s="196"/>
      <c r="N150" s="154"/>
      <c r="O150" s="174"/>
      <c r="P150" s="173"/>
    </row>
    <row r="151" spans="1:16" ht="16.2" thickBot="1" x14ac:dyDescent="0.35">
      <c r="A151" s="189" t="s">
        <v>108</v>
      </c>
      <c r="B151" s="180">
        <f>$T$9</f>
        <v>30</v>
      </c>
      <c r="C151" s="48">
        <f>$U$9</f>
        <v>70</v>
      </c>
      <c r="D151" s="176">
        <f t="shared" si="48"/>
        <v>857500</v>
      </c>
      <c r="E151" s="149">
        <v>4.5999999999999996</v>
      </c>
      <c r="F151" s="177">
        <f t="shared" si="49"/>
        <v>1864.130434782609</v>
      </c>
      <c r="G151" s="177">
        <f>(F151)/2</f>
        <v>932.06521739130449</v>
      </c>
      <c r="H151" s="240"/>
      <c r="I151" s="241">
        <v>5.2</v>
      </c>
      <c r="J151" s="177">
        <f t="shared" si="50"/>
        <v>1649.0384615384614</v>
      </c>
      <c r="K151" s="177">
        <f>(J151)/2</f>
        <v>824.51923076923072</v>
      </c>
      <c r="L151" s="178"/>
      <c r="M151" s="202"/>
      <c r="N151" s="155"/>
      <c r="O151" s="186"/>
      <c r="P151" s="183"/>
    </row>
    <row r="152" spans="1:16" ht="15.6" x14ac:dyDescent="0.3">
      <c r="A152" s="187" t="s">
        <v>106</v>
      </c>
      <c r="B152" s="165">
        <f>$W$8</f>
        <v>70</v>
      </c>
      <c r="C152" s="166">
        <f>$V$8</f>
        <v>30</v>
      </c>
      <c r="D152" s="166">
        <f t="shared" si="48"/>
        <v>157500</v>
      </c>
      <c r="E152" s="166">
        <f>'Carichi unitari'!$M$4</f>
        <v>3.2</v>
      </c>
      <c r="F152" s="167">
        <f t="shared" si="49"/>
        <v>492.1875</v>
      </c>
      <c r="G152" s="167"/>
      <c r="H152" s="239">
        <f>12*'Carichi unitari'!$P$4*F152/E152^2/1000000/(1+0.5*(F152/G153+F152/G154))</f>
        <v>11.889994880790901</v>
      </c>
      <c r="I152" s="165">
        <f>'Carichi unitari'!$M$4</f>
        <v>3.2</v>
      </c>
      <c r="J152" s="167">
        <f t="shared" si="50"/>
        <v>492.1875</v>
      </c>
      <c r="K152" s="167"/>
      <c r="L152" s="168">
        <f>12*'Carichi unitari'!$P$4*J152/I152^2/1000000/(1+0.5*(J152/K153+J152/K154))</f>
        <v>11.377167625549118</v>
      </c>
      <c r="M152" s="195">
        <v>2</v>
      </c>
      <c r="N152" s="169"/>
      <c r="O152" s="170">
        <v>12</v>
      </c>
      <c r="P152" s="168"/>
    </row>
    <row r="153" spans="1:16" ht="15.6" x14ac:dyDescent="0.3">
      <c r="A153" s="188" t="s">
        <v>107</v>
      </c>
      <c r="B153" s="171">
        <f>$T$8</f>
        <v>30</v>
      </c>
      <c r="C153" s="50">
        <f>$U$8</f>
        <v>70</v>
      </c>
      <c r="D153" s="50">
        <f t="shared" si="48"/>
        <v>857500</v>
      </c>
      <c r="E153" s="99">
        <v>4.5999999999999996</v>
      </c>
      <c r="F153" s="172">
        <f t="shared" si="49"/>
        <v>1864.130434782609</v>
      </c>
      <c r="G153" s="172">
        <f>(F153)/2</f>
        <v>932.06521739130449</v>
      </c>
      <c r="H153" s="210"/>
      <c r="I153" s="184">
        <v>5.2</v>
      </c>
      <c r="J153" s="172">
        <f t="shared" si="50"/>
        <v>1649.0384615384614</v>
      </c>
      <c r="K153" s="172">
        <f>(J153)/2</f>
        <v>824.51923076923072</v>
      </c>
      <c r="L153" s="248">
        <f>L152/$L$135</f>
        <v>0.30191693290734822</v>
      </c>
      <c r="M153" s="196"/>
      <c r="N153" s="154"/>
      <c r="O153" s="171"/>
      <c r="P153" s="173"/>
    </row>
    <row r="154" spans="1:16" ht="16.2" thickBot="1" x14ac:dyDescent="0.35">
      <c r="A154" s="191" t="s">
        <v>108</v>
      </c>
      <c r="B154" s="180">
        <f>$T$9</f>
        <v>30</v>
      </c>
      <c r="C154" s="48">
        <f>$U$9</f>
        <v>70</v>
      </c>
      <c r="D154" s="48">
        <f t="shared" si="48"/>
        <v>857500</v>
      </c>
      <c r="E154" s="181">
        <v>4.5999999999999996</v>
      </c>
      <c r="F154" s="182">
        <f t="shared" si="49"/>
        <v>1864.130434782609</v>
      </c>
      <c r="G154" s="182">
        <f>(F154)/2</f>
        <v>932.06521739130449</v>
      </c>
      <c r="H154" s="211"/>
      <c r="I154" s="185">
        <v>5.2</v>
      </c>
      <c r="J154" s="182">
        <f t="shared" si="50"/>
        <v>1649.0384615384614</v>
      </c>
      <c r="K154" s="182">
        <f>(J154)/2</f>
        <v>824.51923076923072</v>
      </c>
      <c r="L154" s="183"/>
      <c r="M154" s="202"/>
      <c r="N154" s="155"/>
      <c r="O154" s="180"/>
      <c r="P154" s="183"/>
    </row>
    <row r="155" spans="1:16" ht="16.2" thickBot="1" x14ac:dyDescent="0.35">
      <c r="B155" s="733" t="s">
        <v>172</v>
      </c>
      <c r="C155" s="734"/>
      <c r="D155" s="734"/>
      <c r="E155" s="734"/>
      <c r="F155" s="734"/>
      <c r="G155" s="734"/>
      <c r="H155" s="734"/>
      <c r="I155" s="734"/>
      <c r="J155" s="734"/>
      <c r="K155" s="734"/>
      <c r="L155" s="734"/>
      <c r="M155" s="727"/>
      <c r="N155" s="727"/>
      <c r="O155" s="727"/>
      <c r="P155" s="728"/>
    </row>
    <row r="156" spans="1:16" ht="15.6" x14ac:dyDescent="0.3">
      <c r="A156" s="187" t="s">
        <v>106</v>
      </c>
      <c r="B156" s="165">
        <f>$V$8</f>
        <v>30</v>
      </c>
      <c r="C156" s="166">
        <f>$W$8</f>
        <v>70</v>
      </c>
      <c r="D156" s="166">
        <f t="shared" ref="D156:D161" si="51">B156*C156^3/12</f>
        <v>857500</v>
      </c>
      <c r="E156" s="166">
        <f>'Carichi unitari'!$M$4</f>
        <v>3.2</v>
      </c>
      <c r="F156" s="167">
        <f t="shared" ref="F156:F161" si="52">D156/(100*E156)</f>
        <v>2679.6875</v>
      </c>
      <c r="G156" s="166"/>
      <c r="H156" s="239">
        <f>12*'Carichi unitari'!$P$4*F156/E156^2/1000000/(1+0.5*(F156/G157+F156/G158))</f>
        <v>2.6977331833655067</v>
      </c>
      <c r="I156" s="165">
        <f>'Carichi unitari'!$M$4</f>
        <v>3.2</v>
      </c>
      <c r="J156" s="167">
        <f t="shared" ref="J156:J161" si="53">D156/(100*I156)</f>
        <v>2679.6875</v>
      </c>
      <c r="K156" s="166"/>
      <c r="L156" s="168">
        <f>12*'Carichi unitari'!$P$4*J156/I156^2/1000000/(1+0.5*(J156/K157+J156/K158))</f>
        <v>2.3939897150555232</v>
      </c>
      <c r="M156" s="195">
        <v>0</v>
      </c>
      <c r="N156" s="169"/>
      <c r="O156" s="170">
        <v>0</v>
      </c>
      <c r="P156" s="168"/>
    </row>
    <row r="157" spans="1:16" ht="15.6" x14ac:dyDescent="0.3">
      <c r="A157" s="188" t="s">
        <v>107</v>
      </c>
      <c r="B157" s="171">
        <f>'stima car. unit.'!$U$9*100</f>
        <v>60</v>
      </c>
      <c r="C157" s="210">
        <f>'stima car. unit.'!$T$9*100</f>
        <v>24</v>
      </c>
      <c r="D157" s="50">
        <f t="shared" si="51"/>
        <v>69120</v>
      </c>
      <c r="E157" s="99">
        <v>4.5999999999999996</v>
      </c>
      <c r="F157" s="172">
        <f t="shared" si="52"/>
        <v>150.2608695652174</v>
      </c>
      <c r="G157" s="172">
        <f>(F157)/2</f>
        <v>75.130434782608702</v>
      </c>
      <c r="H157" s="210"/>
      <c r="I157" s="184">
        <v>5.2</v>
      </c>
      <c r="J157" s="172">
        <f t="shared" si="53"/>
        <v>132.92307692307693</v>
      </c>
      <c r="K157" s="172">
        <f>(J157)/2</f>
        <v>66.461538461538467</v>
      </c>
      <c r="L157" s="248">
        <f>L156/$L$135</f>
        <v>6.3529522985859566E-2</v>
      </c>
      <c r="M157" s="196"/>
      <c r="N157" s="154"/>
      <c r="O157" s="174"/>
      <c r="P157" s="173"/>
    </row>
    <row r="158" spans="1:16" ht="16.2" thickBot="1" x14ac:dyDescent="0.35">
      <c r="A158" s="189" t="s">
        <v>108</v>
      </c>
      <c r="B158" s="171">
        <f>'stima car. unit.'!$U$9*100</f>
        <v>60</v>
      </c>
      <c r="C158" s="210">
        <f>'stima car. unit.'!$T$9*100</f>
        <v>24</v>
      </c>
      <c r="D158" s="48">
        <f t="shared" si="51"/>
        <v>69120</v>
      </c>
      <c r="E158" s="181">
        <v>4.5999999999999996</v>
      </c>
      <c r="F158" s="182">
        <f t="shared" si="52"/>
        <v>150.2608695652174</v>
      </c>
      <c r="G158" s="182">
        <f>(F158)/2</f>
        <v>75.130434782608702</v>
      </c>
      <c r="H158" s="211"/>
      <c r="I158" s="241">
        <v>5.2</v>
      </c>
      <c r="J158" s="177">
        <f t="shared" si="53"/>
        <v>132.92307692307693</v>
      </c>
      <c r="K158" s="177">
        <f>(J158)/2</f>
        <v>66.461538461538467</v>
      </c>
      <c r="L158" s="178"/>
      <c r="M158" s="202"/>
      <c r="N158" s="155"/>
      <c r="O158" s="186"/>
      <c r="P158" s="183"/>
    </row>
    <row r="159" spans="1:16" ht="15.6" x14ac:dyDescent="0.3">
      <c r="A159" s="160" t="s">
        <v>106</v>
      </c>
      <c r="B159" s="165">
        <f>$W$8</f>
        <v>70</v>
      </c>
      <c r="C159" s="166">
        <f>$V$8</f>
        <v>30</v>
      </c>
      <c r="D159" s="199">
        <f t="shared" si="51"/>
        <v>157500</v>
      </c>
      <c r="E159" s="199">
        <f>'Carichi unitari'!$M$4</f>
        <v>3.2</v>
      </c>
      <c r="F159" s="200">
        <f t="shared" si="52"/>
        <v>492.1875</v>
      </c>
      <c r="G159" s="200"/>
      <c r="H159" s="246">
        <f>12*'Carichi unitari'!$P$4*F159/E159^2/1000000/(1+0.5*(F159/G160+F159/G161))</f>
        <v>2.4060896883217655</v>
      </c>
      <c r="I159" s="165">
        <f>'Carichi unitari'!$M$4</f>
        <v>3.2</v>
      </c>
      <c r="J159" s="167">
        <f t="shared" si="53"/>
        <v>492.1875</v>
      </c>
      <c r="K159" s="167"/>
      <c r="L159" s="168">
        <f>12*'Carichi unitari'!$P$4*J159/I159^2/1000000/(1+0.5*(J159/K160+J159/K161))</f>
        <v>2.1614926225699014</v>
      </c>
      <c r="M159" s="195">
        <v>2</v>
      </c>
      <c r="N159" s="169"/>
      <c r="O159" s="170">
        <v>0</v>
      </c>
      <c r="P159" s="168"/>
    </row>
    <row r="160" spans="1:16" ht="15.6" x14ac:dyDescent="0.3">
      <c r="A160" s="161" t="s">
        <v>107</v>
      </c>
      <c r="B160" s="171">
        <f>'stima car. unit.'!$U$9*100</f>
        <v>60</v>
      </c>
      <c r="C160" s="210">
        <f>'stima car. unit.'!$T$9*100</f>
        <v>24</v>
      </c>
      <c r="D160" s="50">
        <f t="shared" si="51"/>
        <v>69120</v>
      </c>
      <c r="E160" s="99">
        <v>4.5999999999999996</v>
      </c>
      <c r="F160" s="172">
        <f t="shared" si="52"/>
        <v>150.2608695652174</v>
      </c>
      <c r="G160" s="172">
        <f>(F160)/2</f>
        <v>75.130434782608702</v>
      </c>
      <c r="H160" s="210"/>
      <c r="I160" s="184">
        <v>5.2</v>
      </c>
      <c r="J160" s="172">
        <f t="shared" si="53"/>
        <v>132.92307692307693</v>
      </c>
      <c r="K160" s="172">
        <f>(J160)/2</f>
        <v>66.461538461538467</v>
      </c>
      <c r="L160" s="248">
        <f>L159/$L$135</f>
        <v>5.7359726479082072E-2</v>
      </c>
      <c r="M160" s="196"/>
      <c r="N160" s="154"/>
      <c r="O160" s="171"/>
      <c r="P160" s="173"/>
    </row>
    <row r="161" spans="1:16" ht="16.2" thickBot="1" x14ac:dyDescent="0.35">
      <c r="A161" s="162" t="s">
        <v>108</v>
      </c>
      <c r="B161" s="171">
        <f>'stima car. unit.'!$U$9*100</f>
        <v>60</v>
      </c>
      <c r="C161" s="210">
        <f>'stima car. unit.'!$T$9*100</f>
        <v>24</v>
      </c>
      <c r="D161" s="48">
        <f t="shared" si="51"/>
        <v>69120</v>
      </c>
      <c r="E161" s="181">
        <v>4.5999999999999996</v>
      </c>
      <c r="F161" s="182">
        <f t="shared" si="52"/>
        <v>150.2608695652174</v>
      </c>
      <c r="G161" s="182">
        <f>(F161)/2</f>
        <v>75.130434782608702</v>
      </c>
      <c r="H161" s="211"/>
      <c r="I161" s="185">
        <v>5.2</v>
      </c>
      <c r="J161" s="182">
        <f t="shared" si="53"/>
        <v>132.92307692307693</v>
      </c>
      <c r="K161" s="182">
        <f>(J161)/2</f>
        <v>66.461538461538467</v>
      </c>
      <c r="L161" s="183"/>
      <c r="M161" s="202"/>
      <c r="N161" s="155"/>
      <c r="O161" s="180"/>
      <c r="P161" s="183"/>
    </row>
    <row r="162" spans="1:16" ht="16.2" thickBot="1" x14ac:dyDescent="0.35">
      <c r="B162" s="725" t="s">
        <v>173</v>
      </c>
      <c r="C162" s="726"/>
      <c r="D162" s="726"/>
      <c r="E162" s="726"/>
      <c r="F162" s="726"/>
      <c r="G162" s="726"/>
      <c r="H162" s="726"/>
      <c r="I162" s="734"/>
      <c r="J162" s="734"/>
      <c r="K162" s="734"/>
      <c r="L162" s="734"/>
      <c r="M162" s="726"/>
      <c r="N162" s="726"/>
      <c r="O162" s="726"/>
      <c r="P162" s="737"/>
    </row>
    <row r="163" spans="1:16" ht="15.6" x14ac:dyDescent="0.3">
      <c r="A163" s="187" t="s">
        <v>106</v>
      </c>
      <c r="B163" s="165">
        <f>$V$8</f>
        <v>30</v>
      </c>
      <c r="C163" s="166">
        <f>$W$8</f>
        <v>70</v>
      </c>
      <c r="D163" s="166">
        <f>B163*C163^3/12</f>
        <v>857500</v>
      </c>
      <c r="E163" s="166">
        <f>'Carichi unitari'!$M$4</f>
        <v>3.2</v>
      </c>
      <c r="F163" s="167">
        <f>D163/(100*E163)</f>
        <v>2679.6875</v>
      </c>
      <c r="G163" s="166"/>
      <c r="H163" s="239">
        <f>12*'Carichi unitari'!$P$4*F163/E163^2/1000000/(1+0.5*(F163/G164+F163/G166))</f>
        <v>27.986427131900903</v>
      </c>
      <c r="I163" s="165">
        <f>'Carichi unitari'!$M$4</f>
        <v>3.2</v>
      </c>
      <c r="J163" s="167">
        <f>D163/(100*I163)</f>
        <v>2679.6875</v>
      </c>
      <c r="K163" s="166"/>
      <c r="L163" s="168">
        <f>12*'Carichi unitari'!$P$4*J163/I163^2/1000000/(1+0.5*(J163/K164+J163/K166))</f>
        <v>25.592702981005679</v>
      </c>
      <c r="M163" s="195">
        <v>0</v>
      </c>
      <c r="N163" s="169"/>
      <c r="O163" s="170">
        <v>1</v>
      </c>
      <c r="P163" s="168"/>
    </row>
    <row r="164" spans="1:16" ht="15.6" x14ac:dyDescent="0.3">
      <c r="A164" s="188" t="s">
        <v>107</v>
      </c>
      <c r="B164" s="171">
        <f>$X$5</f>
        <v>100</v>
      </c>
      <c r="C164" s="50">
        <f>$Y$5</f>
        <v>24</v>
      </c>
      <c r="D164" s="50">
        <f t="shared" ref="D164:D172" si="54">B164*C164^3/12</f>
        <v>115200</v>
      </c>
      <c r="E164" s="99">
        <v>4.5999999999999996</v>
      </c>
      <c r="F164" s="172">
        <f t="shared" ref="F164:F172" si="55">D164/(100*E164)</f>
        <v>250.43478260869568</v>
      </c>
      <c r="G164" s="172">
        <f>(F164+F165)/2</f>
        <v>1057.2826086956522</v>
      </c>
      <c r="H164" s="210"/>
      <c r="I164" s="184">
        <v>5.2</v>
      </c>
      <c r="J164" s="172">
        <f t="shared" ref="J164:J172" si="56">D164/(100*I164)</f>
        <v>221.53846153846155</v>
      </c>
      <c r="K164" s="172">
        <f>(J164+J165)/2</f>
        <v>935.28846153846143</v>
      </c>
      <c r="L164" s="248">
        <f>L163/$L$135</f>
        <v>0.67915588863102871</v>
      </c>
      <c r="M164" s="196"/>
      <c r="N164" s="154"/>
      <c r="O164" s="174"/>
      <c r="P164" s="173"/>
    </row>
    <row r="165" spans="1:16" ht="15.6" x14ac:dyDescent="0.3">
      <c r="A165" s="189"/>
      <c r="B165" s="171">
        <f>$T$8</f>
        <v>30</v>
      </c>
      <c r="C165" s="50">
        <f>$U$8</f>
        <v>70</v>
      </c>
      <c r="D165" s="50">
        <f t="shared" si="54"/>
        <v>857500</v>
      </c>
      <c r="E165" s="99">
        <v>4.5999999999999996</v>
      </c>
      <c r="F165" s="172">
        <f t="shared" si="55"/>
        <v>1864.130434782609</v>
      </c>
      <c r="G165" s="172"/>
      <c r="H165" s="210"/>
      <c r="I165" s="184">
        <v>5.2</v>
      </c>
      <c r="J165" s="172">
        <f t="shared" si="56"/>
        <v>1649.0384615384614</v>
      </c>
      <c r="K165" s="172"/>
      <c r="L165" s="173"/>
      <c r="M165" s="196"/>
      <c r="N165" s="154"/>
      <c r="O165" s="174"/>
      <c r="P165" s="173"/>
    </row>
    <row r="166" spans="1:16" ht="15.6" x14ac:dyDescent="0.3">
      <c r="A166" s="189" t="s">
        <v>108</v>
      </c>
      <c r="B166" s="171">
        <f>$X$5</f>
        <v>100</v>
      </c>
      <c r="C166" s="50">
        <f>$Y$5</f>
        <v>24</v>
      </c>
      <c r="D166" s="50">
        <f t="shared" si="54"/>
        <v>115200</v>
      </c>
      <c r="E166" s="99">
        <v>4.5999999999999996</v>
      </c>
      <c r="F166" s="172">
        <f t="shared" si="55"/>
        <v>250.43478260869568</v>
      </c>
      <c r="G166" s="172">
        <f>(F166+F167)/2</f>
        <v>1057.2826086956522</v>
      </c>
      <c r="H166" s="210"/>
      <c r="I166" s="184">
        <v>5.2</v>
      </c>
      <c r="J166" s="172">
        <f t="shared" si="56"/>
        <v>221.53846153846155</v>
      </c>
      <c r="K166" s="172">
        <f>(J166+J167)/2</f>
        <v>935.28846153846143</v>
      </c>
      <c r="L166" s="173"/>
      <c r="M166" s="196"/>
      <c r="N166" s="154"/>
      <c r="O166" s="174"/>
      <c r="P166" s="173"/>
    </row>
    <row r="167" spans="1:16" ht="16.2" thickBot="1" x14ac:dyDescent="0.35">
      <c r="A167" s="190"/>
      <c r="B167" s="175">
        <f>$T$9</f>
        <v>30</v>
      </c>
      <c r="C167" s="176">
        <f>$U$9</f>
        <v>70</v>
      </c>
      <c r="D167" s="176">
        <f t="shared" si="54"/>
        <v>857500</v>
      </c>
      <c r="E167" s="149">
        <v>4.5999999999999996</v>
      </c>
      <c r="F167" s="177">
        <f t="shared" si="55"/>
        <v>1864.130434782609</v>
      </c>
      <c r="G167" s="177"/>
      <c r="H167" s="240"/>
      <c r="I167" s="241">
        <v>5.2</v>
      </c>
      <c r="J167" s="177">
        <f t="shared" si="56"/>
        <v>1649.0384615384614</v>
      </c>
      <c r="K167" s="177"/>
      <c r="L167" s="178"/>
      <c r="M167" s="202"/>
      <c r="N167" s="155"/>
      <c r="O167" s="186"/>
      <c r="P167" s="183"/>
    </row>
    <row r="168" spans="1:16" ht="15.6" x14ac:dyDescent="0.3">
      <c r="A168" s="187" t="s">
        <v>106</v>
      </c>
      <c r="B168" s="165">
        <f>$W$8</f>
        <v>70</v>
      </c>
      <c r="C168" s="166">
        <f>$V$8</f>
        <v>30</v>
      </c>
      <c r="D168" s="166">
        <f t="shared" si="54"/>
        <v>157500</v>
      </c>
      <c r="E168" s="166">
        <f>'Carichi unitari'!$M$4</f>
        <v>3.2</v>
      </c>
      <c r="F168" s="167">
        <f t="shared" si="55"/>
        <v>492.1875</v>
      </c>
      <c r="G168" s="167"/>
      <c r="H168" s="239">
        <f>12*'Carichi unitari'!$P$4*F168/E168^2/1000000/(1+0.5*(F168/G169+F168/G171))</f>
        <v>12.204602489419617</v>
      </c>
      <c r="I168" s="165">
        <f>'Carichi unitari'!$M$4</f>
        <v>3.2</v>
      </c>
      <c r="J168" s="167">
        <f t="shared" si="56"/>
        <v>492.1875</v>
      </c>
      <c r="K168" s="167"/>
      <c r="L168" s="168">
        <f>12*'Carichi unitari'!$P$4*J168/I168^2/1000000/(1+0.5*(J168/K169+J168/K171))</f>
        <v>11.70349936808006</v>
      </c>
      <c r="M168" s="195">
        <v>4</v>
      </c>
      <c r="N168" s="169"/>
      <c r="O168" s="170">
        <v>1</v>
      </c>
      <c r="P168" s="168"/>
    </row>
    <row r="169" spans="1:16" ht="15.6" x14ac:dyDescent="0.3">
      <c r="A169" s="188" t="s">
        <v>107</v>
      </c>
      <c r="B169" s="171">
        <f>'stima car. unit.'!$U$9*100</f>
        <v>60</v>
      </c>
      <c r="C169" s="210">
        <f>'stima car. unit.'!$T$9*100</f>
        <v>24</v>
      </c>
      <c r="D169" s="50">
        <f t="shared" si="54"/>
        <v>69120</v>
      </c>
      <c r="E169" s="99">
        <v>4.5999999999999996</v>
      </c>
      <c r="F169" s="172">
        <f t="shared" si="55"/>
        <v>150.2608695652174</v>
      </c>
      <c r="G169" s="172">
        <f>(F169+F170)/2</f>
        <v>1007.1956521739132</v>
      </c>
      <c r="H169" s="210"/>
      <c r="I169" s="184">
        <v>5.2</v>
      </c>
      <c r="J169" s="172">
        <f t="shared" si="56"/>
        <v>132.92307692307693</v>
      </c>
      <c r="K169" s="172">
        <f>(J169+J170)/2</f>
        <v>890.98076923076917</v>
      </c>
      <c r="L169" s="248">
        <f>L168/$L$135</f>
        <v>0.31057682806385445</v>
      </c>
      <c r="M169" s="196"/>
      <c r="N169" s="154"/>
      <c r="O169" s="171"/>
      <c r="P169" s="173"/>
    </row>
    <row r="170" spans="1:16" x14ac:dyDescent="0.3">
      <c r="B170" s="171">
        <f>$T$8</f>
        <v>30</v>
      </c>
      <c r="C170" s="50">
        <f>$U$8</f>
        <v>70</v>
      </c>
      <c r="D170" s="50">
        <f t="shared" si="54"/>
        <v>857500</v>
      </c>
      <c r="E170" s="99">
        <v>4.5999999999999996</v>
      </c>
      <c r="F170" s="172">
        <f t="shared" si="55"/>
        <v>1864.130434782609</v>
      </c>
      <c r="G170" s="97"/>
      <c r="H170" s="244"/>
      <c r="I170" s="184">
        <v>5.2</v>
      </c>
      <c r="J170" s="172">
        <f t="shared" si="56"/>
        <v>1649.0384615384614</v>
      </c>
      <c r="K170" s="97"/>
      <c r="L170" s="117"/>
      <c r="M170" s="203"/>
      <c r="N170" s="117"/>
      <c r="O170" s="193"/>
      <c r="P170" s="117"/>
    </row>
    <row r="171" spans="1:16" ht="16.2" thickBot="1" x14ac:dyDescent="0.35">
      <c r="A171" s="191" t="s">
        <v>108</v>
      </c>
      <c r="B171" s="171">
        <f>'stima car. unit.'!$U$9*100</f>
        <v>60</v>
      </c>
      <c r="C171" s="210">
        <f>'stima car. unit.'!$T$9*100</f>
        <v>24</v>
      </c>
      <c r="D171" s="50">
        <f t="shared" si="54"/>
        <v>69120</v>
      </c>
      <c r="E171" s="99">
        <v>4.5999999999999996</v>
      </c>
      <c r="F171" s="172">
        <f t="shared" si="55"/>
        <v>150.2608695652174</v>
      </c>
      <c r="G171" s="172">
        <f>(F171+F172)/2</f>
        <v>1007.1956521739132</v>
      </c>
      <c r="H171" s="210"/>
      <c r="I171" s="184">
        <v>5.2</v>
      </c>
      <c r="J171" s="172">
        <f t="shared" si="56"/>
        <v>132.92307692307693</v>
      </c>
      <c r="K171" s="172">
        <f>(J171+J172)/2</f>
        <v>890.98076923076917</v>
      </c>
      <c r="L171" s="173"/>
      <c r="M171" s="196"/>
      <c r="N171" s="154"/>
      <c r="O171" s="171"/>
      <c r="P171" s="173"/>
    </row>
    <row r="172" spans="1:16" ht="15" thickBot="1" x14ac:dyDescent="0.35">
      <c r="B172" s="180">
        <f>$T$9</f>
        <v>30</v>
      </c>
      <c r="C172" s="48">
        <f>$U$9</f>
        <v>70</v>
      </c>
      <c r="D172" s="48">
        <f t="shared" si="54"/>
        <v>857500</v>
      </c>
      <c r="E172" s="181">
        <v>4.5999999999999996</v>
      </c>
      <c r="F172" s="182">
        <f t="shared" si="55"/>
        <v>1864.130434782609</v>
      </c>
      <c r="G172" s="36"/>
      <c r="H172" s="245"/>
      <c r="I172" s="185">
        <v>5.2</v>
      </c>
      <c r="J172" s="182">
        <f t="shared" si="56"/>
        <v>1649.0384615384614</v>
      </c>
      <c r="K172" s="36"/>
      <c r="L172" s="192"/>
      <c r="M172" s="204"/>
      <c r="N172" s="192"/>
      <c r="O172" s="194"/>
      <c r="P172" s="192"/>
    </row>
    <row r="174" spans="1:16" ht="15" thickBot="1" x14ac:dyDescent="0.35"/>
    <row r="175" spans="1:16" ht="16.2" thickBot="1" x14ac:dyDescent="0.35">
      <c r="A175" s="1"/>
      <c r="B175" s="720" t="s">
        <v>160</v>
      </c>
      <c r="C175" s="721"/>
      <c r="D175" s="721"/>
      <c r="E175" s="721"/>
      <c r="F175" s="721"/>
      <c r="G175" s="721"/>
      <c r="H175" s="722"/>
      <c r="I175" s="212"/>
      <c r="J175" s="212"/>
      <c r="K175" s="212"/>
      <c r="L175" s="212"/>
      <c r="M175" s="723" t="s">
        <v>112</v>
      </c>
      <c r="N175" s="724"/>
      <c r="O175" s="723" t="s">
        <v>162</v>
      </c>
      <c r="P175" s="724"/>
    </row>
    <row r="176" spans="1:16" ht="19.2" thickBot="1" x14ac:dyDescent="0.35">
      <c r="B176" s="156" t="s">
        <v>109</v>
      </c>
      <c r="C176" s="157" t="s">
        <v>110</v>
      </c>
      <c r="D176" s="157" t="s">
        <v>153</v>
      </c>
      <c r="E176" s="157" t="s">
        <v>113</v>
      </c>
      <c r="F176" s="157" t="s">
        <v>164</v>
      </c>
      <c r="G176" s="157"/>
      <c r="H176" s="158" t="s">
        <v>152</v>
      </c>
      <c r="I176" s="157" t="s">
        <v>113</v>
      </c>
      <c r="J176" s="157" t="s">
        <v>164</v>
      </c>
      <c r="K176" s="157"/>
      <c r="L176" s="158" t="s">
        <v>152</v>
      </c>
      <c r="M176" s="156" t="s">
        <v>111</v>
      </c>
      <c r="N176" s="159" t="s">
        <v>170</v>
      </c>
      <c r="O176" s="156" t="s">
        <v>111</v>
      </c>
      <c r="P176" s="159" t="s">
        <v>170</v>
      </c>
    </row>
    <row r="177" spans="1:16" ht="16.2" thickBot="1" x14ac:dyDescent="0.35">
      <c r="B177" s="725" t="s">
        <v>163</v>
      </c>
      <c r="C177" s="726"/>
      <c r="D177" s="726"/>
      <c r="E177" s="726"/>
      <c r="F177" s="726"/>
      <c r="G177" s="726"/>
      <c r="H177" s="726"/>
      <c r="I177" s="726"/>
      <c r="J177" s="726"/>
      <c r="K177" s="726"/>
      <c r="L177" s="726"/>
      <c r="M177" s="727"/>
      <c r="N177" s="727"/>
      <c r="O177" s="727"/>
      <c r="P177" s="728"/>
    </row>
    <row r="178" spans="1:16" ht="15.6" x14ac:dyDescent="0.3">
      <c r="A178" s="187" t="s">
        <v>106</v>
      </c>
      <c r="B178" s="165">
        <f>$V$9</f>
        <v>30</v>
      </c>
      <c r="C178" s="166">
        <f>$W$9</f>
        <v>80</v>
      </c>
      <c r="D178" s="166">
        <f t="shared" ref="D178:D183" si="57">B178*C178^3/12</f>
        <v>1280000</v>
      </c>
      <c r="E178" s="166">
        <f>'Carichi unitari'!$M$4</f>
        <v>3.2</v>
      </c>
      <c r="F178" s="167">
        <f t="shared" ref="F178:F183" si="58">D178/(100*E178)</f>
        <v>4000</v>
      </c>
      <c r="G178" s="166"/>
      <c r="H178" s="239">
        <f>12*'Carichi unitari'!$P$4*F178/E178^2/1000000/(1+0.5*(F178/G179+F178/G180))</f>
        <v>46.937992354031508</v>
      </c>
      <c r="I178" s="165">
        <f>'Carichi unitari'!$M$4</f>
        <v>3.2</v>
      </c>
      <c r="J178" s="167">
        <f t="shared" ref="J178:J183" si="59">D178/(100*I178)</f>
        <v>4000</v>
      </c>
      <c r="K178" s="166"/>
      <c r="L178" s="168">
        <f>12*'Carichi unitari'!$P$4*J178/I178^2/1000000/(1+0.5*(J178/K179+J178/K180))</f>
        <v>43.103058510638284</v>
      </c>
      <c r="M178" s="195">
        <v>7</v>
      </c>
      <c r="N178" s="168">
        <f>H178*M178+H181*M181+H185*M185+H188*M188+H192*M192+H195*M195+H199*M199+H202*M202+H206*M206+H211*M211</f>
        <v>605.75040523403584</v>
      </c>
      <c r="O178" s="170">
        <v>9</v>
      </c>
      <c r="P178" s="168">
        <f>L178*O178+L181*O181+L188*O188+L192*O192+L195*O195+L199*O199+L202*O202+L206*O206+L185*O185+L211*O211</f>
        <v>592.24122490834247</v>
      </c>
    </row>
    <row r="179" spans="1:16" ht="15.6" x14ac:dyDescent="0.3">
      <c r="A179" s="188" t="s">
        <v>107</v>
      </c>
      <c r="B179" s="171">
        <f>$T$9</f>
        <v>30</v>
      </c>
      <c r="C179" s="50">
        <f>$U$9</f>
        <v>70</v>
      </c>
      <c r="D179" s="50">
        <f t="shared" si="57"/>
        <v>857500</v>
      </c>
      <c r="E179" s="99">
        <v>4.5999999999999996</v>
      </c>
      <c r="F179" s="172">
        <f t="shared" si="58"/>
        <v>1864.130434782609</v>
      </c>
      <c r="G179" s="172">
        <f>(F179+F179)/2</f>
        <v>1864.130434782609</v>
      </c>
      <c r="H179" s="210"/>
      <c r="I179" s="184">
        <v>5.2</v>
      </c>
      <c r="J179" s="172">
        <f t="shared" si="59"/>
        <v>1649.0384615384614</v>
      </c>
      <c r="K179" s="172">
        <f>(J179+J179)/2</f>
        <v>1649.0384615384614</v>
      </c>
      <c r="L179" s="247">
        <f>L178/L178</f>
        <v>1</v>
      </c>
      <c r="M179" s="196"/>
      <c r="N179" s="248">
        <f>N178/H178</f>
        <v>12.905332649618703</v>
      </c>
      <c r="O179" s="174"/>
      <c r="P179" s="248">
        <f>P178/L178</f>
        <v>13.740120663645508</v>
      </c>
    </row>
    <row r="180" spans="1:16" ht="16.2" thickBot="1" x14ac:dyDescent="0.35">
      <c r="A180" s="189" t="s">
        <v>108</v>
      </c>
      <c r="B180" s="180">
        <f>$T$10</f>
        <v>30</v>
      </c>
      <c r="C180" s="48">
        <f>$U$10</f>
        <v>70</v>
      </c>
      <c r="D180" s="48">
        <f t="shared" si="57"/>
        <v>857500</v>
      </c>
      <c r="E180" s="181">
        <v>4.5999999999999996</v>
      </c>
      <c r="F180" s="182">
        <f t="shared" si="58"/>
        <v>1864.130434782609</v>
      </c>
      <c r="G180" s="182">
        <f>(F180+F180)/2</f>
        <v>1864.130434782609</v>
      </c>
      <c r="H180" s="211"/>
      <c r="I180" s="241">
        <v>5.2</v>
      </c>
      <c r="J180" s="177">
        <f t="shared" si="59"/>
        <v>1649.0384615384614</v>
      </c>
      <c r="K180" s="177">
        <f>(J180+J180)/2</f>
        <v>1649.0384615384614</v>
      </c>
      <c r="L180" s="178"/>
      <c r="M180" s="197"/>
      <c r="N180" s="164"/>
      <c r="O180" s="179"/>
      <c r="P180" s="178"/>
    </row>
    <row r="181" spans="1:16" ht="15.6" x14ac:dyDescent="0.3">
      <c r="A181" s="187" t="s">
        <v>106</v>
      </c>
      <c r="B181" s="165">
        <f>$W$9</f>
        <v>80</v>
      </c>
      <c r="C181" s="166">
        <f>$V$9</f>
        <v>30</v>
      </c>
      <c r="D181" s="166">
        <f t="shared" si="57"/>
        <v>180000</v>
      </c>
      <c r="E181" s="166">
        <f>'Carichi unitari'!$M$4</f>
        <v>3.2</v>
      </c>
      <c r="F181" s="167">
        <f t="shared" si="58"/>
        <v>562.5</v>
      </c>
      <c r="G181" s="167"/>
      <c r="H181" s="239">
        <f>12*'Carichi unitari'!$P$4*F181/E181^2/1000000/(1+0.5*(F181/G182+F181/G183))</f>
        <v>15.950967376469762</v>
      </c>
      <c r="I181" s="165">
        <f>'Carichi unitari'!$M$4</f>
        <v>3.2</v>
      </c>
      <c r="J181" s="167">
        <f t="shared" si="59"/>
        <v>562.5</v>
      </c>
      <c r="K181" s="167"/>
      <c r="L181" s="168">
        <f>12*'Carichi unitari'!$P$4*J181/I181^2/1000000/(1+0.5*(J181/K182+J181/K183))</f>
        <v>15.48284115998641</v>
      </c>
      <c r="M181" s="195">
        <v>1</v>
      </c>
      <c r="N181" s="169"/>
      <c r="O181" s="170">
        <v>1</v>
      </c>
      <c r="P181" s="168"/>
    </row>
    <row r="182" spans="1:16" ht="15.6" x14ac:dyDescent="0.3">
      <c r="A182" s="188" t="s">
        <v>107</v>
      </c>
      <c r="B182" s="171">
        <f>$T$9</f>
        <v>30</v>
      </c>
      <c r="C182" s="50">
        <f>$U$9</f>
        <v>70</v>
      </c>
      <c r="D182" s="50">
        <f t="shared" si="57"/>
        <v>857500</v>
      </c>
      <c r="E182" s="99">
        <v>4.5999999999999996</v>
      </c>
      <c r="F182" s="172">
        <f t="shared" si="58"/>
        <v>1864.130434782609</v>
      </c>
      <c r="G182" s="172">
        <f>(F182+F182)/2</f>
        <v>1864.130434782609</v>
      </c>
      <c r="H182" s="210"/>
      <c r="I182" s="184">
        <v>5.2</v>
      </c>
      <c r="J182" s="172">
        <f t="shared" si="59"/>
        <v>1649.0384615384614</v>
      </c>
      <c r="K182" s="172">
        <f>(J182+J182)/2</f>
        <v>1649.0384615384614</v>
      </c>
      <c r="L182" s="248">
        <f>L181/$L$178</f>
        <v>0.35920516304347833</v>
      </c>
      <c r="M182" s="196"/>
      <c r="N182" s="154"/>
      <c r="O182" s="171"/>
      <c r="P182" s="173"/>
    </row>
    <row r="183" spans="1:16" ht="16.2" thickBot="1" x14ac:dyDescent="0.35">
      <c r="A183" s="191" t="s">
        <v>108</v>
      </c>
      <c r="B183" s="180">
        <f>$T$10</f>
        <v>30</v>
      </c>
      <c r="C183" s="48">
        <f>$U$10</f>
        <v>70</v>
      </c>
      <c r="D183" s="48">
        <f t="shared" si="57"/>
        <v>857500</v>
      </c>
      <c r="E183" s="181">
        <v>4.5999999999999996</v>
      </c>
      <c r="F183" s="182">
        <f t="shared" si="58"/>
        <v>1864.130434782609</v>
      </c>
      <c r="G183" s="182">
        <f>(F183+F183)/2</f>
        <v>1864.130434782609</v>
      </c>
      <c r="H183" s="211"/>
      <c r="I183" s="185">
        <v>5.2</v>
      </c>
      <c r="J183" s="182">
        <f t="shared" si="59"/>
        <v>1649.0384615384614</v>
      </c>
      <c r="K183" s="182">
        <f>(J183+J183)/2</f>
        <v>1649.0384615384614</v>
      </c>
      <c r="L183" s="183"/>
      <c r="M183" s="202"/>
      <c r="N183" s="155"/>
      <c r="O183" s="180"/>
      <c r="P183" s="183"/>
    </row>
    <row r="184" spans="1:16" ht="16.2" thickBot="1" x14ac:dyDescent="0.35">
      <c r="B184" s="729" t="s">
        <v>168</v>
      </c>
      <c r="C184" s="730"/>
      <c r="D184" s="730"/>
      <c r="E184" s="730"/>
      <c r="F184" s="730"/>
      <c r="G184" s="730"/>
      <c r="H184" s="730"/>
      <c r="I184" s="730"/>
      <c r="J184" s="730"/>
      <c r="K184" s="730"/>
      <c r="L184" s="730"/>
      <c r="M184" s="731"/>
      <c r="N184" s="731"/>
      <c r="O184" s="731"/>
      <c r="P184" s="732"/>
    </row>
    <row r="185" spans="1:16" ht="15.6" x14ac:dyDescent="0.3">
      <c r="A185" s="187" t="s">
        <v>106</v>
      </c>
      <c r="B185" s="165">
        <f>$V$9</f>
        <v>30</v>
      </c>
      <c r="C185" s="166">
        <f>$W$9</f>
        <v>80</v>
      </c>
      <c r="D185" s="166">
        <f t="shared" ref="D185:D190" si="60">B185*C185^3/12</f>
        <v>1280000</v>
      </c>
      <c r="E185" s="166">
        <f>'Carichi unitari'!$M$4</f>
        <v>3.2</v>
      </c>
      <c r="F185" s="167">
        <f t="shared" ref="F185:F190" si="61">D185/(100*E185)</f>
        <v>4000</v>
      </c>
      <c r="G185" s="166"/>
      <c r="H185" s="239">
        <f>12*'Carichi unitari'!$P$4*F185/E185^2/1000000/(1+0.5*(F185/G186+F185/G187))</f>
        <v>5.3459185383841765</v>
      </c>
      <c r="I185" s="165">
        <f>'Carichi unitari'!$M$4</f>
        <v>3.2</v>
      </c>
      <c r="J185" s="167">
        <f t="shared" ref="J185:J190" si="62">D185/(100*I185)</f>
        <v>4000</v>
      </c>
      <c r="K185" s="166"/>
      <c r="L185" s="168">
        <f>12*'Carichi unitari'!$P$4*J185/I185^2/1000000/(1+0.5*(J185/K186+J185/K187))</f>
        <v>4.7489204883859433</v>
      </c>
      <c r="M185" s="195">
        <v>1</v>
      </c>
      <c r="N185" s="168"/>
      <c r="O185" s="170">
        <v>0</v>
      </c>
      <c r="P185" s="168"/>
    </row>
    <row r="186" spans="1:16" ht="15.6" x14ac:dyDescent="0.3">
      <c r="A186" s="188" t="s">
        <v>107</v>
      </c>
      <c r="B186" s="171">
        <f>'stima car. unit.'!$U$9*100</f>
        <v>60</v>
      </c>
      <c r="C186" s="210">
        <f>'stima car. unit.'!$T$9*100</f>
        <v>24</v>
      </c>
      <c r="D186" s="50">
        <f t="shared" si="60"/>
        <v>69120</v>
      </c>
      <c r="E186" s="99">
        <v>4.5999999999999996</v>
      </c>
      <c r="F186" s="172">
        <f t="shared" si="61"/>
        <v>150.2608695652174</v>
      </c>
      <c r="G186" s="172">
        <f>(F186+F186)/2</f>
        <v>150.2608695652174</v>
      </c>
      <c r="H186" s="210"/>
      <c r="I186" s="184">
        <v>5.2</v>
      </c>
      <c r="J186" s="172">
        <f t="shared" si="62"/>
        <v>132.92307692307693</v>
      </c>
      <c r="K186" s="172">
        <f>(J186+J186)/2</f>
        <v>132.92307692307693</v>
      </c>
      <c r="L186" s="248">
        <f>L185/$L$178</f>
        <v>0.1101759516024567</v>
      </c>
      <c r="M186" s="196"/>
      <c r="N186" s="154"/>
      <c r="O186" s="174"/>
      <c r="P186" s="173"/>
    </row>
    <row r="187" spans="1:16" ht="16.2" thickBot="1" x14ac:dyDescent="0.35">
      <c r="A187" s="189" t="s">
        <v>108</v>
      </c>
      <c r="B187" s="171">
        <f>'stima car. unit.'!$U$9*100</f>
        <v>60</v>
      </c>
      <c r="C187" s="210">
        <f>'stima car. unit.'!$T$9*100</f>
        <v>24</v>
      </c>
      <c r="D187" s="48">
        <f t="shared" si="60"/>
        <v>69120</v>
      </c>
      <c r="E187" s="181">
        <v>4.5999999999999996</v>
      </c>
      <c r="F187" s="182">
        <f t="shared" si="61"/>
        <v>150.2608695652174</v>
      </c>
      <c r="G187" s="182">
        <f>(F187+F187)/2</f>
        <v>150.2608695652174</v>
      </c>
      <c r="H187" s="211"/>
      <c r="I187" s="241">
        <v>5.2</v>
      </c>
      <c r="J187" s="177">
        <f t="shared" si="62"/>
        <v>132.92307692307693</v>
      </c>
      <c r="K187" s="177">
        <f>(J187+J187)/2</f>
        <v>132.92307692307693</v>
      </c>
      <c r="L187" s="178"/>
      <c r="M187" s="202"/>
      <c r="N187" s="155"/>
      <c r="O187" s="186"/>
      <c r="P187" s="183"/>
    </row>
    <row r="188" spans="1:16" ht="15.6" x14ac:dyDescent="0.3">
      <c r="A188" s="187" t="s">
        <v>106</v>
      </c>
      <c r="B188" s="165">
        <f>$W$9</f>
        <v>80</v>
      </c>
      <c r="C188" s="166">
        <f>$V$9</f>
        <v>30</v>
      </c>
      <c r="D188" s="166">
        <f t="shared" si="60"/>
        <v>180000</v>
      </c>
      <c r="E188" s="166">
        <f>'Carichi unitari'!$M$4</f>
        <v>3.2</v>
      </c>
      <c r="F188" s="166">
        <f t="shared" si="61"/>
        <v>562.5</v>
      </c>
      <c r="G188" s="166"/>
      <c r="H188" s="239">
        <f>12*'Carichi unitari'!$P$4*F188/E188^2/1000000/(1+0.5*(F188/G189+F188/G190))</f>
        <v>4.3774018665934662</v>
      </c>
      <c r="I188" s="165">
        <f>'Carichi unitari'!$M$4</f>
        <v>3.2</v>
      </c>
      <c r="J188" s="167">
        <f t="shared" si="62"/>
        <v>562.5</v>
      </c>
      <c r="K188" s="166"/>
      <c r="L188" s="168">
        <f>12*'Carichi unitari'!$P$4*J188/I188^2/1000000/(1+0.5*(J188/K189+J188/K190))</f>
        <v>3.9688588850174211</v>
      </c>
      <c r="M188" s="195">
        <v>1</v>
      </c>
      <c r="N188" s="169"/>
      <c r="O188" s="165">
        <v>0</v>
      </c>
      <c r="P188" s="168"/>
    </row>
    <row r="189" spans="1:16" ht="15.6" x14ac:dyDescent="0.3">
      <c r="A189" s="188" t="s">
        <v>107</v>
      </c>
      <c r="B189" s="171">
        <f>'stima car. unit.'!$U$9*100</f>
        <v>60</v>
      </c>
      <c r="C189" s="210">
        <f>'stima car. unit.'!$T$9*100</f>
        <v>24</v>
      </c>
      <c r="D189" s="50">
        <f t="shared" si="60"/>
        <v>69120</v>
      </c>
      <c r="E189" s="99">
        <v>4.5999999999999996</v>
      </c>
      <c r="F189" s="50">
        <f t="shared" si="61"/>
        <v>150.2608695652174</v>
      </c>
      <c r="G189" s="172">
        <f>(F189+F189)/2</f>
        <v>150.2608695652174</v>
      </c>
      <c r="H189" s="210"/>
      <c r="I189" s="184">
        <v>5.2</v>
      </c>
      <c r="J189" s="172">
        <f t="shared" si="62"/>
        <v>132.92307692307693</v>
      </c>
      <c r="K189" s="172">
        <f>(J189+J189)/2</f>
        <v>132.92307692307693</v>
      </c>
      <c r="L189" s="248">
        <f>L188/$L$178</f>
        <v>9.2078358755861039E-2</v>
      </c>
      <c r="M189" s="242"/>
      <c r="N189" s="154"/>
      <c r="O189" s="171"/>
      <c r="P189" s="173"/>
    </row>
    <row r="190" spans="1:16" ht="16.2" thickBot="1" x14ac:dyDescent="0.35">
      <c r="A190" s="191" t="s">
        <v>108</v>
      </c>
      <c r="B190" s="171">
        <f>'stima car. unit.'!$U$9*100</f>
        <v>60</v>
      </c>
      <c r="C190" s="210">
        <f>'stima car. unit.'!$T$9*100</f>
        <v>24</v>
      </c>
      <c r="D190" s="48">
        <f t="shared" si="60"/>
        <v>69120</v>
      </c>
      <c r="E190" s="181">
        <v>4.5999999999999996</v>
      </c>
      <c r="F190" s="48">
        <f t="shared" si="61"/>
        <v>150.2608695652174</v>
      </c>
      <c r="G190" s="182">
        <f>(F190+F190)/2</f>
        <v>150.2608695652174</v>
      </c>
      <c r="H190" s="211"/>
      <c r="I190" s="185">
        <v>5.2</v>
      </c>
      <c r="J190" s="182">
        <f t="shared" si="62"/>
        <v>132.92307692307693</v>
      </c>
      <c r="K190" s="182">
        <f>(J190+J190)/2</f>
        <v>132.92307692307693</v>
      </c>
      <c r="L190" s="183"/>
      <c r="M190" s="243"/>
      <c r="N190" s="155"/>
      <c r="O190" s="180"/>
      <c r="P190" s="183"/>
    </row>
    <row r="191" spans="1:16" ht="16.2" thickBot="1" x14ac:dyDescent="0.35">
      <c r="B191" s="733" t="s">
        <v>171</v>
      </c>
      <c r="C191" s="734"/>
      <c r="D191" s="734"/>
      <c r="E191" s="734"/>
      <c r="F191" s="734"/>
      <c r="G191" s="734"/>
      <c r="H191" s="734"/>
      <c r="I191" s="734"/>
      <c r="J191" s="734"/>
      <c r="K191" s="734"/>
      <c r="L191" s="734"/>
      <c r="M191" s="735"/>
      <c r="N191" s="735"/>
      <c r="O191" s="735"/>
      <c r="P191" s="736"/>
    </row>
    <row r="192" spans="1:16" ht="15.6" x14ac:dyDescent="0.3">
      <c r="A192" s="187" t="s">
        <v>106</v>
      </c>
      <c r="B192" s="165">
        <f>$V$9</f>
        <v>30</v>
      </c>
      <c r="C192" s="166">
        <f>$W$9</f>
        <v>80</v>
      </c>
      <c r="D192" s="166">
        <f t="shared" ref="D192:D197" si="63">B192*C192^3/12</f>
        <v>1280000</v>
      </c>
      <c r="E192" s="166">
        <f>'Carichi unitari'!$M$4</f>
        <v>3.2</v>
      </c>
      <c r="F192" s="167">
        <f t="shared" ref="F192:F197" si="64">D192/(100*E192)</f>
        <v>4000</v>
      </c>
      <c r="G192" s="166"/>
      <c r="H192" s="239">
        <f>12*'Carichi unitari'!$P$4*F192/E192^2/1000000/(1+0.5*(F192/G193+F192/G194))</f>
        <v>27.90418388429752</v>
      </c>
      <c r="I192" s="165">
        <f>'Carichi unitari'!$M$4</f>
        <v>3.2</v>
      </c>
      <c r="J192" s="167">
        <f t="shared" ref="J192:J197" si="65">D192/(100*I192)</f>
        <v>4000</v>
      </c>
      <c r="K192" s="166"/>
      <c r="L192" s="168">
        <f>12*'Carichi unitari'!$P$4*J192/I192^2/1000000/(1+0.5*(J192/K193+J192/K194))</f>
        <v>25.234725336322864</v>
      </c>
      <c r="M192" s="195">
        <v>6</v>
      </c>
      <c r="N192" s="169"/>
      <c r="O192" s="170">
        <v>0</v>
      </c>
      <c r="P192" s="168"/>
    </row>
    <row r="193" spans="1:16" ht="15.6" x14ac:dyDescent="0.3">
      <c r="A193" s="188" t="s">
        <v>107</v>
      </c>
      <c r="B193" s="171">
        <f>$T$9</f>
        <v>30</v>
      </c>
      <c r="C193" s="50">
        <f>$U$9</f>
        <v>70</v>
      </c>
      <c r="D193" s="50">
        <f t="shared" si="63"/>
        <v>857500</v>
      </c>
      <c r="E193" s="99">
        <v>4.5999999999999996</v>
      </c>
      <c r="F193" s="172">
        <f t="shared" si="64"/>
        <v>1864.130434782609</v>
      </c>
      <c r="G193" s="172">
        <f>(F193)/2</f>
        <v>932.06521739130449</v>
      </c>
      <c r="H193" s="210"/>
      <c r="I193" s="184">
        <v>5.2</v>
      </c>
      <c r="J193" s="172">
        <f t="shared" si="65"/>
        <v>1649.0384615384614</v>
      </c>
      <c r="K193" s="172">
        <f>(J193)/2</f>
        <v>824.51923076923072</v>
      </c>
      <c r="L193" s="248">
        <f>L192/$L$178</f>
        <v>0.58545092177379177</v>
      </c>
      <c r="M193" s="196"/>
      <c r="N193" s="154"/>
      <c r="O193" s="174"/>
      <c r="P193" s="173"/>
    </row>
    <row r="194" spans="1:16" ht="16.2" thickBot="1" x14ac:dyDescent="0.35">
      <c r="A194" s="189" t="s">
        <v>108</v>
      </c>
      <c r="B194" s="180">
        <f>$T$10</f>
        <v>30</v>
      </c>
      <c r="C194" s="48">
        <f>$U$10</f>
        <v>70</v>
      </c>
      <c r="D194" s="176">
        <f t="shared" si="63"/>
        <v>857500</v>
      </c>
      <c r="E194" s="149">
        <v>4.5999999999999996</v>
      </c>
      <c r="F194" s="177">
        <f t="shared" si="64"/>
        <v>1864.130434782609</v>
      </c>
      <c r="G194" s="177">
        <f>(F194)/2</f>
        <v>932.06521739130449</v>
      </c>
      <c r="H194" s="240"/>
      <c r="I194" s="241">
        <v>5.2</v>
      </c>
      <c r="J194" s="177">
        <f t="shared" si="65"/>
        <v>1649.0384615384614</v>
      </c>
      <c r="K194" s="177">
        <f>(J194)/2</f>
        <v>824.51923076923072</v>
      </c>
      <c r="L194" s="178"/>
      <c r="M194" s="202"/>
      <c r="N194" s="155"/>
      <c r="O194" s="186"/>
      <c r="P194" s="183"/>
    </row>
    <row r="195" spans="1:16" ht="15.6" x14ac:dyDescent="0.3">
      <c r="A195" s="187" t="s">
        <v>106</v>
      </c>
      <c r="B195" s="165">
        <f>$W$9</f>
        <v>80</v>
      </c>
      <c r="C195" s="166">
        <f>$V$9</f>
        <v>30</v>
      </c>
      <c r="D195" s="166">
        <f t="shared" si="63"/>
        <v>180000</v>
      </c>
      <c r="E195" s="166">
        <f>'Carichi unitari'!$M$4</f>
        <v>3.2</v>
      </c>
      <c r="F195" s="167">
        <f t="shared" si="64"/>
        <v>562.5</v>
      </c>
      <c r="G195" s="167"/>
      <c r="H195" s="239">
        <f>12*'Carichi unitari'!$P$4*F195/E195^2/1000000/(1+0.5*(F195/G196+F195/G197))</f>
        <v>12.949285333806817</v>
      </c>
      <c r="I195" s="165">
        <f>'Carichi unitari'!$M$4</f>
        <v>3.2</v>
      </c>
      <c r="J195" s="167">
        <f t="shared" si="65"/>
        <v>562.5</v>
      </c>
      <c r="K195" s="167"/>
      <c r="L195" s="168">
        <f>12*'Carichi unitari'!$P$4*J195/I195^2/1000000/(1+0.5*(J195/K196+J195/K197))</f>
        <v>12.343339572952772</v>
      </c>
      <c r="M195" s="195">
        <v>2</v>
      </c>
      <c r="N195" s="169"/>
      <c r="O195" s="170">
        <v>12</v>
      </c>
      <c r="P195" s="168"/>
    </row>
    <row r="196" spans="1:16" ht="15.6" x14ac:dyDescent="0.3">
      <c r="A196" s="188" t="s">
        <v>107</v>
      </c>
      <c r="B196" s="171">
        <f>$T$9</f>
        <v>30</v>
      </c>
      <c r="C196" s="50">
        <f>$U$9</f>
        <v>70</v>
      </c>
      <c r="D196" s="50">
        <f t="shared" si="63"/>
        <v>857500</v>
      </c>
      <c r="E196" s="99">
        <v>4.5999999999999996</v>
      </c>
      <c r="F196" s="172">
        <f t="shared" si="64"/>
        <v>1864.130434782609</v>
      </c>
      <c r="G196" s="172">
        <f>(F196)/2</f>
        <v>932.06521739130449</v>
      </c>
      <c r="H196" s="210"/>
      <c r="I196" s="184">
        <v>5.2</v>
      </c>
      <c r="J196" s="172">
        <f t="shared" si="65"/>
        <v>1649.0384615384614</v>
      </c>
      <c r="K196" s="172">
        <f>(J196)/2</f>
        <v>824.51923076923072</v>
      </c>
      <c r="L196" s="248">
        <f>L195/$L$178</f>
        <v>0.28636806759098793</v>
      </c>
      <c r="M196" s="196"/>
      <c r="N196" s="154"/>
      <c r="O196" s="171"/>
      <c r="P196" s="173"/>
    </row>
    <row r="197" spans="1:16" ht="16.2" thickBot="1" x14ac:dyDescent="0.35">
      <c r="A197" s="191" t="s">
        <v>108</v>
      </c>
      <c r="B197" s="180">
        <f>$T$10</f>
        <v>30</v>
      </c>
      <c r="C197" s="48">
        <f>$U$10</f>
        <v>70</v>
      </c>
      <c r="D197" s="48">
        <f t="shared" si="63"/>
        <v>857500</v>
      </c>
      <c r="E197" s="181">
        <v>4.5999999999999996</v>
      </c>
      <c r="F197" s="182">
        <f t="shared" si="64"/>
        <v>1864.130434782609</v>
      </c>
      <c r="G197" s="182">
        <f>(F197)/2</f>
        <v>932.06521739130449</v>
      </c>
      <c r="H197" s="211"/>
      <c r="I197" s="185">
        <v>5.2</v>
      </c>
      <c r="J197" s="182">
        <f t="shared" si="65"/>
        <v>1649.0384615384614</v>
      </c>
      <c r="K197" s="182">
        <f>(J197)/2</f>
        <v>824.51923076923072</v>
      </c>
      <c r="L197" s="183"/>
      <c r="M197" s="202"/>
      <c r="N197" s="155"/>
      <c r="O197" s="180"/>
      <c r="P197" s="183"/>
    </row>
    <row r="198" spans="1:16" ht="16.2" thickBot="1" x14ac:dyDescent="0.35">
      <c r="B198" s="733" t="s">
        <v>172</v>
      </c>
      <c r="C198" s="734"/>
      <c r="D198" s="734"/>
      <c r="E198" s="734"/>
      <c r="F198" s="734"/>
      <c r="G198" s="734"/>
      <c r="H198" s="734"/>
      <c r="I198" s="734"/>
      <c r="J198" s="734"/>
      <c r="K198" s="734"/>
      <c r="L198" s="734"/>
      <c r="M198" s="727"/>
      <c r="N198" s="727"/>
      <c r="O198" s="727"/>
      <c r="P198" s="728"/>
    </row>
    <row r="199" spans="1:16" ht="15.6" x14ac:dyDescent="0.3">
      <c r="A199" s="187" t="s">
        <v>106</v>
      </c>
      <c r="B199" s="165">
        <f>$V$9</f>
        <v>30</v>
      </c>
      <c r="C199" s="166">
        <f>$W$9</f>
        <v>80</v>
      </c>
      <c r="D199" s="166">
        <f t="shared" ref="D199:D204" si="66">B199*C199^3/12</f>
        <v>1280000</v>
      </c>
      <c r="E199" s="166">
        <f>'Carichi unitari'!$M$4</f>
        <v>3.2</v>
      </c>
      <c r="F199" s="167">
        <f t="shared" ref="F199:F204" si="67">D199/(100*E199)</f>
        <v>4000</v>
      </c>
      <c r="G199" s="166"/>
      <c r="H199" s="239">
        <f>12*'Carichi unitari'!$P$4*F199/E199^2/1000000/(1+0.5*(F199/G200+F199/G201))</f>
        <v>2.7222388187094571</v>
      </c>
      <c r="I199" s="165">
        <f>'Carichi unitari'!$M$4</f>
        <v>3.2</v>
      </c>
      <c r="J199" s="167">
        <f t="shared" ref="J199:J204" si="68">D199/(100*I199)</f>
        <v>4000</v>
      </c>
      <c r="K199" s="166"/>
      <c r="L199" s="168">
        <f>12*'Carichi unitari'!$P$4*J199/I199^2/1000000/(1+0.5*(J199/K200+J199/K201))</f>
        <v>2.4132680084745757</v>
      </c>
      <c r="M199" s="195">
        <v>0</v>
      </c>
      <c r="N199" s="169"/>
      <c r="O199" s="170">
        <v>0</v>
      </c>
      <c r="P199" s="168"/>
    </row>
    <row r="200" spans="1:16" ht="15.6" x14ac:dyDescent="0.3">
      <c r="A200" s="188" t="s">
        <v>107</v>
      </c>
      <c r="B200" s="171">
        <f>'stima car. unit.'!$U$9*100</f>
        <v>60</v>
      </c>
      <c r="C200" s="210">
        <f>'stima car. unit.'!$T$9*100</f>
        <v>24</v>
      </c>
      <c r="D200" s="50">
        <f t="shared" si="66"/>
        <v>69120</v>
      </c>
      <c r="E200" s="99">
        <v>4.5999999999999996</v>
      </c>
      <c r="F200" s="172">
        <f t="shared" si="67"/>
        <v>150.2608695652174</v>
      </c>
      <c r="G200" s="172">
        <f>(F200)/2</f>
        <v>75.130434782608702</v>
      </c>
      <c r="H200" s="210"/>
      <c r="I200" s="184">
        <v>5.2</v>
      </c>
      <c r="J200" s="172">
        <f t="shared" si="68"/>
        <v>132.92307692307693</v>
      </c>
      <c r="K200" s="172">
        <f>(J200)/2</f>
        <v>66.461538461538467</v>
      </c>
      <c r="L200" s="248">
        <f>L199/$L$178</f>
        <v>5.5988324074008715E-2</v>
      </c>
      <c r="M200" s="196"/>
      <c r="N200" s="154"/>
      <c r="O200" s="174"/>
      <c r="P200" s="173"/>
    </row>
    <row r="201" spans="1:16" ht="16.2" thickBot="1" x14ac:dyDescent="0.35">
      <c r="A201" s="189" t="s">
        <v>108</v>
      </c>
      <c r="B201" s="171">
        <f>'stima car. unit.'!$U$9*100</f>
        <v>60</v>
      </c>
      <c r="C201" s="210">
        <f>'stima car. unit.'!$T$9*100</f>
        <v>24</v>
      </c>
      <c r="D201" s="48">
        <f t="shared" si="66"/>
        <v>69120</v>
      </c>
      <c r="E201" s="181">
        <v>4.5999999999999996</v>
      </c>
      <c r="F201" s="182">
        <f t="shared" si="67"/>
        <v>150.2608695652174</v>
      </c>
      <c r="G201" s="182">
        <f>(F201)/2</f>
        <v>75.130434782608702</v>
      </c>
      <c r="H201" s="211"/>
      <c r="I201" s="241">
        <v>5.2</v>
      </c>
      <c r="J201" s="177">
        <f t="shared" si="68"/>
        <v>132.92307692307693</v>
      </c>
      <c r="K201" s="177">
        <f>(J201)/2</f>
        <v>66.461538461538467</v>
      </c>
      <c r="L201" s="178"/>
      <c r="M201" s="202"/>
      <c r="N201" s="155"/>
      <c r="O201" s="186"/>
      <c r="P201" s="183"/>
    </row>
    <row r="202" spans="1:16" ht="15.6" x14ac:dyDescent="0.3">
      <c r="A202" s="160" t="s">
        <v>106</v>
      </c>
      <c r="B202" s="165">
        <f>$W$9</f>
        <v>80</v>
      </c>
      <c r="C202" s="166">
        <f>$V$9</f>
        <v>30</v>
      </c>
      <c r="D202" s="199">
        <f t="shared" si="66"/>
        <v>180000</v>
      </c>
      <c r="E202" s="199">
        <f>'Carichi unitari'!$M$4</f>
        <v>3.2</v>
      </c>
      <c r="F202" s="200">
        <f t="shared" si="67"/>
        <v>562.5</v>
      </c>
      <c r="G202" s="200"/>
      <c r="H202" s="246">
        <f>12*'Carichi unitari'!$P$4*F202/E202^2/1000000/(1+0.5*(F202/G203+F202/G204))</f>
        <v>2.4465902117213867</v>
      </c>
      <c r="I202" s="165">
        <f>'Carichi unitari'!$M$4</f>
        <v>3.2</v>
      </c>
      <c r="J202" s="167">
        <f t="shared" si="68"/>
        <v>562.5</v>
      </c>
      <c r="K202" s="167"/>
      <c r="L202" s="168">
        <f>12*'Carichi unitari'!$P$4*J202/I202^2/1000000/(1+0.5*(J202/K203+J202/K204))</f>
        <v>2.1941214914694549</v>
      </c>
      <c r="M202" s="195">
        <v>2</v>
      </c>
      <c r="N202" s="169"/>
      <c r="O202" s="170">
        <v>0</v>
      </c>
      <c r="P202" s="168"/>
    </row>
    <row r="203" spans="1:16" ht="15.6" x14ac:dyDescent="0.3">
      <c r="A203" s="161" t="s">
        <v>107</v>
      </c>
      <c r="B203" s="171">
        <f>'stima car. unit.'!$U$9*100</f>
        <v>60</v>
      </c>
      <c r="C203" s="210">
        <f>'stima car. unit.'!$T$9*100</f>
        <v>24</v>
      </c>
      <c r="D203" s="50">
        <f t="shared" si="66"/>
        <v>69120</v>
      </c>
      <c r="E203" s="99">
        <v>4.5999999999999996</v>
      </c>
      <c r="F203" s="172">
        <f t="shared" si="67"/>
        <v>150.2608695652174</v>
      </c>
      <c r="G203" s="172">
        <f>(F203)/2</f>
        <v>75.130434782608702</v>
      </c>
      <c r="H203" s="210"/>
      <c r="I203" s="184">
        <v>5.2</v>
      </c>
      <c r="J203" s="172">
        <f t="shared" si="68"/>
        <v>132.92307692307693</v>
      </c>
      <c r="K203" s="172">
        <f>(J203)/2</f>
        <v>66.461538461538467</v>
      </c>
      <c r="L203" s="248">
        <f>L202/$L$178</f>
        <v>5.090407890493253E-2</v>
      </c>
      <c r="M203" s="196"/>
      <c r="N203" s="154"/>
      <c r="O203" s="171"/>
      <c r="P203" s="173"/>
    </row>
    <row r="204" spans="1:16" ht="16.2" thickBot="1" x14ac:dyDescent="0.35">
      <c r="A204" s="162" t="s">
        <v>108</v>
      </c>
      <c r="B204" s="171">
        <f>'stima car. unit.'!$U$9*100</f>
        <v>60</v>
      </c>
      <c r="C204" s="210">
        <f>'stima car. unit.'!$T$9*100</f>
        <v>24</v>
      </c>
      <c r="D204" s="48">
        <f t="shared" si="66"/>
        <v>69120</v>
      </c>
      <c r="E204" s="181">
        <v>4.5999999999999996</v>
      </c>
      <c r="F204" s="182">
        <f t="shared" si="67"/>
        <v>150.2608695652174</v>
      </c>
      <c r="G204" s="182">
        <f>(F204)/2</f>
        <v>75.130434782608702</v>
      </c>
      <c r="H204" s="211"/>
      <c r="I204" s="185">
        <v>5.2</v>
      </c>
      <c r="J204" s="182">
        <f t="shared" si="68"/>
        <v>132.92307692307693</v>
      </c>
      <c r="K204" s="182">
        <f>(J204)/2</f>
        <v>66.461538461538467</v>
      </c>
      <c r="L204" s="183"/>
      <c r="M204" s="202"/>
      <c r="N204" s="155"/>
      <c r="O204" s="180"/>
      <c r="P204" s="183"/>
    </row>
    <row r="205" spans="1:16" ht="16.2" thickBot="1" x14ac:dyDescent="0.35">
      <c r="B205" s="725" t="s">
        <v>173</v>
      </c>
      <c r="C205" s="726"/>
      <c r="D205" s="726"/>
      <c r="E205" s="726"/>
      <c r="F205" s="726"/>
      <c r="G205" s="726"/>
      <c r="H205" s="726"/>
      <c r="I205" s="734"/>
      <c r="J205" s="734"/>
      <c r="K205" s="734"/>
      <c r="L205" s="734"/>
      <c r="M205" s="726"/>
      <c r="N205" s="726"/>
      <c r="O205" s="726"/>
      <c r="P205" s="737"/>
    </row>
    <row r="206" spans="1:16" ht="15.6" x14ac:dyDescent="0.3">
      <c r="A206" s="187" t="s">
        <v>106</v>
      </c>
      <c r="B206" s="165">
        <f>$V$9</f>
        <v>30</v>
      </c>
      <c r="C206" s="166">
        <f>$W$9</f>
        <v>80</v>
      </c>
      <c r="D206" s="166">
        <f>B206*C206^3/12</f>
        <v>1280000</v>
      </c>
      <c r="E206" s="166">
        <f>'Carichi unitari'!$M$4</f>
        <v>3.2</v>
      </c>
      <c r="F206" s="167">
        <f>D206/(100*E206)</f>
        <v>4000</v>
      </c>
      <c r="G206" s="166"/>
      <c r="H206" s="239">
        <f>12*'Carichi unitari'!$P$4*F206/E206^2/1000000/(1+0.5*(F206/G207+F206/G209))</f>
        <v>30.869223112386351</v>
      </c>
      <c r="I206" s="165">
        <f>'Carichi unitari'!$M$4</f>
        <v>3.2</v>
      </c>
      <c r="J206" s="167">
        <f>D206/(100*I206)</f>
        <v>4000</v>
      </c>
      <c r="K206" s="166"/>
      <c r="L206" s="168">
        <f>12*'Carichi unitari'!$P$4*J206/I206^2/1000000/(1+0.5*(J206/K207+J206/K209))</f>
        <v>27.982394134665956</v>
      </c>
      <c r="M206" s="195">
        <v>0</v>
      </c>
      <c r="N206" s="169"/>
      <c r="O206" s="170">
        <v>1</v>
      </c>
      <c r="P206" s="168"/>
    </row>
    <row r="207" spans="1:16" ht="15.6" x14ac:dyDescent="0.3">
      <c r="A207" s="188" t="s">
        <v>107</v>
      </c>
      <c r="B207" s="171">
        <f>$X$5</f>
        <v>100</v>
      </c>
      <c r="C207" s="50">
        <f>$Y$5</f>
        <v>24</v>
      </c>
      <c r="D207" s="50">
        <f t="shared" ref="D207:D215" si="69">B207*C207^3/12</f>
        <v>115200</v>
      </c>
      <c r="E207" s="99">
        <v>4.5999999999999996</v>
      </c>
      <c r="F207" s="172">
        <f t="shared" ref="F207:F215" si="70">D207/(100*E207)</f>
        <v>250.43478260869568</v>
      </c>
      <c r="G207" s="172">
        <f>(F207+F208)/2</f>
        <v>1057.2826086956522</v>
      </c>
      <c r="H207" s="210"/>
      <c r="I207" s="184">
        <v>5.2</v>
      </c>
      <c r="J207" s="172">
        <f t="shared" ref="J207:J215" si="71">D207/(100*I207)</f>
        <v>221.53846153846155</v>
      </c>
      <c r="K207" s="172">
        <f>(J207+J208)/2</f>
        <v>935.28846153846143</v>
      </c>
      <c r="L207" s="248">
        <f>L206/$L$178</f>
        <v>0.64919741432640121</v>
      </c>
      <c r="M207" s="196"/>
      <c r="N207" s="154"/>
      <c r="O207" s="174"/>
      <c r="P207" s="173"/>
    </row>
    <row r="208" spans="1:16" ht="15.6" x14ac:dyDescent="0.3">
      <c r="A208" s="189"/>
      <c r="B208" s="171">
        <f>$T$9</f>
        <v>30</v>
      </c>
      <c r="C208" s="50">
        <f>$U$9</f>
        <v>70</v>
      </c>
      <c r="D208" s="50">
        <f t="shared" si="69"/>
        <v>857500</v>
      </c>
      <c r="E208" s="99">
        <v>4.5999999999999996</v>
      </c>
      <c r="F208" s="172">
        <f t="shared" si="70"/>
        <v>1864.130434782609</v>
      </c>
      <c r="G208" s="172"/>
      <c r="H208" s="210"/>
      <c r="I208" s="184">
        <v>5.2</v>
      </c>
      <c r="J208" s="172">
        <f t="shared" si="71"/>
        <v>1649.0384615384614</v>
      </c>
      <c r="K208" s="172"/>
      <c r="L208" s="173"/>
      <c r="M208" s="196"/>
      <c r="N208" s="154"/>
      <c r="O208" s="174"/>
      <c r="P208" s="173"/>
    </row>
    <row r="209" spans="1:16" ht="15.6" x14ac:dyDescent="0.3">
      <c r="A209" s="189" t="s">
        <v>108</v>
      </c>
      <c r="B209" s="171">
        <f>$X$5</f>
        <v>100</v>
      </c>
      <c r="C209" s="50">
        <f>$Y$5</f>
        <v>24</v>
      </c>
      <c r="D209" s="50">
        <f t="shared" si="69"/>
        <v>115200</v>
      </c>
      <c r="E209" s="99">
        <v>4.5999999999999996</v>
      </c>
      <c r="F209" s="172">
        <f t="shared" si="70"/>
        <v>250.43478260869568</v>
      </c>
      <c r="G209" s="172">
        <f>(F209+F210)/2</f>
        <v>1057.2826086956522</v>
      </c>
      <c r="H209" s="210"/>
      <c r="I209" s="184">
        <v>5.2</v>
      </c>
      <c r="J209" s="172">
        <f t="shared" si="71"/>
        <v>221.53846153846155</v>
      </c>
      <c r="K209" s="172">
        <f>(J209+J210)/2</f>
        <v>935.28846153846143</v>
      </c>
      <c r="L209" s="173"/>
      <c r="M209" s="196"/>
      <c r="N209" s="154"/>
      <c r="O209" s="174"/>
      <c r="P209" s="173"/>
    </row>
    <row r="210" spans="1:16" ht="16.2" thickBot="1" x14ac:dyDescent="0.35">
      <c r="A210" s="190"/>
      <c r="B210" s="175">
        <f>$T$10</f>
        <v>30</v>
      </c>
      <c r="C210" s="176">
        <f>$U$10</f>
        <v>70</v>
      </c>
      <c r="D210" s="176">
        <f t="shared" si="69"/>
        <v>857500</v>
      </c>
      <c r="E210" s="149">
        <v>4.5999999999999996</v>
      </c>
      <c r="F210" s="177">
        <f t="shared" si="70"/>
        <v>1864.130434782609</v>
      </c>
      <c r="G210" s="177"/>
      <c r="H210" s="240"/>
      <c r="I210" s="241">
        <v>5.2</v>
      </c>
      <c r="J210" s="177">
        <f t="shared" si="71"/>
        <v>1649.0384615384614</v>
      </c>
      <c r="K210" s="177"/>
      <c r="L210" s="178"/>
      <c r="M210" s="202"/>
      <c r="N210" s="155"/>
      <c r="O210" s="186"/>
      <c r="P210" s="183"/>
    </row>
    <row r="211" spans="1:16" ht="15.6" x14ac:dyDescent="0.3">
      <c r="A211" s="187" t="s">
        <v>106</v>
      </c>
      <c r="B211" s="165">
        <f>$W$9</f>
        <v>80</v>
      </c>
      <c r="C211" s="166">
        <f>$V$9</f>
        <v>30</v>
      </c>
      <c r="D211" s="166">
        <f t="shared" si="69"/>
        <v>180000</v>
      </c>
      <c r="E211" s="166">
        <f>'Carichi unitari'!$M$4</f>
        <v>3.2</v>
      </c>
      <c r="F211" s="167">
        <f t="shared" si="70"/>
        <v>562.5</v>
      </c>
      <c r="G211" s="167"/>
      <c r="H211" s="239">
        <f>12*'Carichi unitari'!$P$4*F211/E211^2/1000000/(1+0.5*(F211/G212+F211/G214))</f>
        <v>13.323329144381612</v>
      </c>
      <c r="I211" s="165">
        <f>'Carichi unitari'!$M$4</f>
        <v>3.2</v>
      </c>
      <c r="J211" s="167">
        <f t="shared" si="71"/>
        <v>562.5</v>
      </c>
      <c r="K211" s="167"/>
      <c r="L211" s="168">
        <f>12*'Carichi unitari'!$P$4*J211/I211^2/1000000/(1+0.5*(J211/K212+J211/K214))</f>
        <v>12.728388142512253</v>
      </c>
      <c r="M211" s="195">
        <v>4</v>
      </c>
      <c r="N211" s="169"/>
      <c r="O211" s="170">
        <v>1</v>
      </c>
      <c r="P211" s="168"/>
    </row>
    <row r="212" spans="1:16" ht="15.6" x14ac:dyDescent="0.3">
      <c r="A212" s="188" t="s">
        <v>107</v>
      </c>
      <c r="B212" s="171">
        <f>'stima car. unit.'!$U$9*100</f>
        <v>60</v>
      </c>
      <c r="C212" s="210">
        <f>'stima car. unit.'!$T$9*100</f>
        <v>24</v>
      </c>
      <c r="D212" s="50">
        <f t="shared" si="69"/>
        <v>69120</v>
      </c>
      <c r="E212" s="99">
        <v>4.5999999999999996</v>
      </c>
      <c r="F212" s="172">
        <f t="shared" si="70"/>
        <v>150.2608695652174</v>
      </c>
      <c r="G212" s="172">
        <f>(F212+F213)/2</f>
        <v>1007.1956521739132</v>
      </c>
      <c r="H212" s="210"/>
      <c r="I212" s="184">
        <v>5.2</v>
      </c>
      <c r="J212" s="172">
        <f t="shared" si="71"/>
        <v>132.92307692307693</v>
      </c>
      <c r="K212" s="172">
        <f>(J212+J213)/2</f>
        <v>890.98076923076917</v>
      </c>
      <c r="L212" s="248">
        <f>L211/$L$178</f>
        <v>0.29530127518377275</v>
      </c>
      <c r="M212" s="196"/>
      <c r="N212" s="154"/>
      <c r="O212" s="171"/>
      <c r="P212" s="173"/>
    </row>
    <row r="213" spans="1:16" x14ac:dyDescent="0.3">
      <c r="B213" s="171">
        <f>$T$9</f>
        <v>30</v>
      </c>
      <c r="C213" s="50">
        <f>$U$9</f>
        <v>70</v>
      </c>
      <c r="D213" s="50">
        <f t="shared" si="69"/>
        <v>857500</v>
      </c>
      <c r="E213" s="99">
        <v>4.5999999999999996</v>
      </c>
      <c r="F213" s="172">
        <f t="shared" si="70"/>
        <v>1864.130434782609</v>
      </c>
      <c r="G213" s="97"/>
      <c r="H213" s="244"/>
      <c r="I213" s="184">
        <v>5.2</v>
      </c>
      <c r="J213" s="172">
        <f t="shared" si="71"/>
        <v>1649.0384615384614</v>
      </c>
      <c r="K213" s="97"/>
      <c r="L213" s="117"/>
      <c r="M213" s="203"/>
      <c r="N213" s="117"/>
      <c r="O213" s="193"/>
      <c r="P213" s="117"/>
    </row>
    <row r="214" spans="1:16" ht="16.2" thickBot="1" x14ac:dyDescent="0.35">
      <c r="A214" s="191" t="s">
        <v>108</v>
      </c>
      <c r="B214" s="171">
        <f>'stima car. unit.'!$U$9*100</f>
        <v>60</v>
      </c>
      <c r="C214" s="210">
        <f>'stima car. unit.'!$T$9*100</f>
        <v>24</v>
      </c>
      <c r="D214" s="50">
        <f t="shared" si="69"/>
        <v>69120</v>
      </c>
      <c r="E214" s="99">
        <v>4.5999999999999996</v>
      </c>
      <c r="F214" s="172">
        <f t="shared" si="70"/>
        <v>150.2608695652174</v>
      </c>
      <c r="G214" s="172">
        <f>(F214+F215)/2</f>
        <v>1007.1956521739132</v>
      </c>
      <c r="H214" s="210"/>
      <c r="I214" s="184">
        <v>5.2</v>
      </c>
      <c r="J214" s="172">
        <f t="shared" si="71"/>
        <v>132.92307692307693</v>
      </c>
      <c r="K214" s="172">
        <f>(J214+J215)/2</f>
        <v>890.98076923076917</v>
      </c>
      <c r="L214" s="173"/>
      <c r="M214" s="196"/>
      <c r="N214" s="154"/>
      <c r="O214" s="171"/>
      <c r="P214" s="173"/>
    </row>
    <row r="215" spans="1:16" ht="15" thickBot="1" x14ac:dyDescent="0.35">
      <c r="B215" s="180">
        <f>$T$10</f>
        <v>30</v>
      </c>
      <c r="C215" s="48">
        <f>$U$10</f>
        <v>70</v>
      </c>
      <c r="D215" s="48">
        <f t="shared" si="69"/>
        <v>857500</v>
      </c>
      <c r="E215" s="181">
        <v>4.5999999999999996</v>
      </c>
      <c r="F215" s="182">
        <f t="shared" si="70"/>
        <v>1864.130434782609</v>
      </c>
      <c r="G215" s="36"/>
      <c r="H215" s="245"/>
      <c r="I215" s="185">
        <v>5.2</v>
      </c>
      <c r="J215" s="182">
        <f t="shared" si="71"/>
        <v>1649.0384615384614</v>
      </c>
      <c r="K215" s="36"/>
      <c r="L215" s="192"/>
      <c r="M215" s="204"/>
      <c r="N215" s="192"/>
      <c r="O215" s="194"/>
      <c r="P215" s="192"/>
    </row>
    <row r="216" spans="1:16" ht="15" thickBot="1" x14ac:dyDescent="0.35"/>
    <row r="217" spans="1:16" ht="16.2" thickBot="1" x14ac:dyDescent="0.35">
      <c r="A217" s="1"/>
      <c r="B217" s="720" t="s">
        <v>174</v>
      </c>
      <c r="C217" s="721"/>
      <c r="D217" s="721"/>
      <c r="E217" s="721"/>
      <c r="F217" s="721"/>
      <c r="G217" s="721"/>
      <c r="H217" s="722"/>
      <c r="I217" s="212"/>
      <c r="J217" s="212"/>
      <c r="K217" s="212"/>
      <c r="L217" s="212"/>
      <c r="M217" s="723" t="s">
        <v>112</v>
      </c>
      <c r="N217" s="724"/>
      <c r="O217" s="723" t="s">
        <v>162</v>
      </c>
      <c r="P217" s="724"/>
    </row>
    <row r="218" spans="1:16" ht="19.2" thickBot="1" x14ac:dyDescent="0.35">
      <c r="B218" s="156" t="s">
        <v>109</v>
      </c>
      <c r="C218" s="157" t="s">
        <v>110</v>
      </c>
      <c r="D218" s="157" t="s">
        <v>153</v>
      </c>
      <c r="E218" s="157" t="s">
        <v>113</v>
      </c>
      <c r="F218" s="157" t="s">
        <v>164</v>
      </c>
      <c r="G218" s="157"/>
      <c r="H218" s="435" t="s">
        <v>152</v>
      </c>
      <c r="I218" s="157" t="s">
        <v>113</v>
      </c>
      <c r="J218" s="157" t="s">
        <v>164</v>
      </c>
      <c r="K218" s="157"/>
      <c r="L218" s="158" t="s">
        <v>152</v>
      </c>
      <c r="M218" s="156" t="s">
        <v>111</v>
      </c>
      <c r="N218" s="159" t="s">
        <v>170</v>
      </c>
      <c r="O218" s="156" t="s">
        <v>111</v>
      </c>
      <c r="P218" s="159" t="s">
        <v>170</v>
      </c>
    </row>
    <row r="219" spans="1:16" ht="16.2" thickBot="1" x14ac:dyDescent="0.35">
      <c r="B219" s="725" t="s">
        <v>163</v>
      </c>
      <c r="C219" s="726"/>
      <c r="D219" s="726"/>
      <c r="E219" s="726"/>
      <c r="F219" s="726"/>
      <c r="G219" s="726"/>
      <c r="H219" s="726"/>
      <c r="I219" s="726"/>
      <c r="J219" s="726"/>
      <c r="K219" s="726"/>
      <c r="L219" s="726"/>
      <c r="M219" s="727"/>
      <c r="N219" s="727"/>
      <c r="O219" s="727"/>
      <c r="P219" s="728"/>
    </row>
    <row r="220" spans="1:16" ht="15.6" x14ac:dyDescent="0.3">
      <c r="A220" s="187" t="s">
        <v>106</v>
      </c>
      <c r="B220" s="165">
        <f>$V$9</f>
        <v>30</v>
      </c>
      <c r="C220" s="166">
        <f>$W$9</f>
        <v>80</v>
      </c>
      <c r="D220" s="166">
        <f>B220*C220^3/12</f>
        <v>1280000</v>
      </c>
      <c r="E220" s="166">
        <f>'Carichi unitari'!$M$5+0.6</f>
        <v>3.6</v>
      </c>
      <c r="F220" s="167">
        <f t="shared" ref="F220:F225" si="72">D220/(100*E220)</f>
        <v>3555.5555555555557</v>
      </c>
      <c r="G220" s="166"/>
      <c r="H220" s="168">
        <v>60.2</v>
      </c>
      <c r="I220" s="195">
        <f>'Carichi unitari'!$M$5+0.6</f>
        <v>3.6</v>
      </c>
      <c r="J220" s="167">
        <f t="shared" ref="J220:J225" si="73">D220/(100*I220)</f>
        <v>3555.5555555555557</v>
      </c>
      <c r="K220" s="166"/>
      <c r="L220" s="168">
        <v>57.84</v>
      </c>
      <c r="M220" s="195">
        <v>7</v>
      </c>
      <c r="N220" s="168">
        <f>H220*M220+H223*M223+H227*M227+H230*M230+H234*M234+H237*M237+H241*M241+H244*M244+H248*M248+H253*M253</f>
        <v>841.34000000000015</v>
      </c>
      <c r="O220" s="170">
        <v>9</v>
      </c>
      <c r="P220" s="168">
        <f>L220*O220+L223*O223+L227*O227+L230*O230+L234*O234+L237*O237+L241*O241+L244*O244+L248*O248+L253*O253</f>
        <v>730</v>
      </c>
    </row>
    <row r="221" spans="1:16" ht="15.6" x14ac:dyDescent="0.3">
      <c r="A221" s="188" t="s">
        <v>107</v>
      </c>
      <c r="B221" s="171">
        <f>$T$10</f>
        <v>30</v>
      </c>
      <c r="C221" s="50">
        <f>$U$10</f>
        <v>70</v>
      </c>
      <c r="D221" s="50">
        <f>B221*C221^3/12</f>
        <v>857500</v>
      </c>
      <c r="E221" s="99">
        <v>4.5999999999999996</v>
      </c>
      <c r="F221" s="172">
        <f t="shared" si="72"/>
        <v>1864.130434782609</v>
      </c>
      <c r="G221" s="172">
        <f>(F221+F221)/2</f>
        <v>1864.130434782609</v>
      </c>
      <c r="H221" s="173"/>
      <c r="I221" s="242">
        <v>5.2</v>
      </c>
      <c r="J221" s="172">
        <f t="shared" si="73"/>
        <v>1649.0384615384614</v>
      </c>
      <c r="K221" s="172">
        <f>(J221+J221)/2</f>
        <v>1649.0384615384614</v>
      </c>
      <c r="L221" s="247"/>
      <c r="M221" s="196"/>
      <c r="N221" s="248">
        <f>N220/H220</f>
        <v>13.97574750830565</v>
      </c>
      <c r="O221" s="174"/>
      <c r="P221" s="248">
        <f>P220/L220</f>
        <v>12.621023513139695</v>
      </c>
    </row>
    <row r="222" spans="1:16" ht="16.2" thickBot="1" x14ac:dyDescent="0.35">
      <c r="A222" s="189" t="s">
        <v>108</v>
      </c>
      <c r="B222" s="180"/>
      <c r="C222" s="48"/>
      <c r="D222" s="48">
        <f>1E+28</f>
        <v>9.9999999999999996E+27</v>
      </c>
      <c r="E222" s="181">
        <v>4.5999999999999996</v>
      </c>
      <c r="F222" s="213">
        <f t="shared" si="72"/>
        <v>2.1739130434782611E+25</v>
      </c>
      <c r="G222" s="213">
        <f>(F222+F222)/2</f>
        <v>2.1739130434782611E+25</v>
      </c>
      <c r="H222" s="183"/>
      <c r="I222" s="442">
        <v>5.2</v>
      </c>
      <c r="J222" s="214">
        <f t="shared" si="73"/>
        <v>1.9230769230769229E+25</v>
      </c>
      <c r="K222" s="214">
        <f>999999999999999000000</f>
        <v>9.9999999999999895E+20</v>
      </c>
      <c r="L222" s="178"/>
      <c r="M222" s="197"/>
      <c r="N222" s="164"/>
      <c r="O222" s="179"/>
      <c r="P222" s="178"/>
    </row>
    <row r="223" spans="1:16" ht="15.6" x14ac:dyDescent="0.3">
      <c r="A223" s="187" t="s">
        <v>106</v>
      </c>
      <c r="B223" s="165">
        <f>$W$9</f>
        <v>80</v>
      </c>
      <c r="C223" s="166">
        <f>$V$9</f>
        <v>30</v>
      </c>
      <c r="D223" s="166">
        <f>B223*C223^3/12</f>
        <v>180000</v>
      </c>
      <c r="E223" s="166">
        <f>'Carichi unitari'!$M$5+0.6</f>
        <v>3.6</v>
      </c>
      <c r="F223" s="167">
        <f t="shared" si="72"/>
        <v>500</v>
      </c>
      <c r="G223" s="167"/>
      <c r="H223" s="168">
        <v>12.9</v>
      </c>
      <c r="I223" s="195">
        <f>'Carichi unitari'!$M$5+0.6</f>
        <v>3.6</v>
      </c>
      <c r="J223" s="167">
        <f t="shared" si="73"/>
        <v>500</v>
      </c>
      <c r="K223" s="167"/>
      <c r="L223" s="168">
        <v>12.74</v>
      </c>
      <c r="M223" s="195">
        <v>1</v>
      </c>
      <c r="N223" s="169"/>
      <c r="O223" s="170">
        <v>1</v>
      </c>
      <c r="P223" s="168"/>
    </row>
    <row r="224" spans="1:16" ht="15.6" x14ac:dyDescent="0.3">
      <c r="A224" s="188" t="s">
        <v>107</v>
      </c>
      <c r="B224" s="171">
        <f>$T$9</f>
        <v>30</v>
      </c>
      <c r="C224" s="50">
        <f>$U$9</f>
        <v>70</v>
      </c>
      <c r="D224" s="50">
        <f>B224*C224^3/12</f>
        <v>857500</v>
      </c>
      <c r="E224" s="99">
        <v>4.5999999999999996</v>
      </c>
      <c r="F224" s="172">
        <f t="shared" si="72"/>
        <v>1864.130434782609</v>
      </c>
      <c r="G224" s="172">
        <f>(F224+F224)/2</f>
        <v>1864.130434782609</v>
      </c>
      <c r="H224" s="173"/>
      <c r="I224" s="242">
        <v>5.2</v>
      </c>
      <c r="J224" s="172">
        <f t="shared" si="73"/>
        <v>1649.0384615384614</v>
      </c>
      <c r="K224" s="172">
        <f>(J224+J224)/2</f>
        <v>1649.0384615384614</v>
      </c>
      <c r="L224" s="248"/>
      <c r="M224" s="196"/>
      <c r="N224" s="154"/>
      <c r="O224" s="171"/>
      <c r="P224" s="173"/>
    </row>
    <row r="225" spans="1:16" ht="16.2" thickBot="1" x14ac:dyDescent="0.35">
      <c r="A225" s="191" t="s">
        <v>108</v>
      </c>
      <c r="B225" s="180"/>
      <c r="C225" s="48"/>
      <c r="D225" s="48">
        <f>1E+28</f>
        <v>9.9999999999999996E+27</v>
      </c>
      <c r="E225" s="181">
        <v>4.5999999999999996</v>
      </c>
      <c r="F225" s="213">
        <f t="shared" si="72"/>
        <v>2.1739130434782611E+25</v>
      </c>
      <c r="G225" s="213">
        <f>(F225+F225)/2</f>
        <v>2.1739130434782611E+25</v>
      </c>
      <c r="H225" s="183"/>
      <c r="I225" s="243">
        <v>5.2</v>
      </c>
      <c r="J225" s="213">
        <f t="shared" si="73"/>
        <v>1.9230769230769229E+25</v>
      </c>
      <c r="K225" s="213">
        <f>(J225+J225)/2</f>
        <v>1.9230769230769229E+25</v>
      </c>
      <c r="L225" s="183"/>
      <c r="M225" s="202"/>
      <c r="N225" s="155"/>
      <c r="O225" s="180"/>
      <c r="P225" s="183"/>
    </row>
    <row r="226" spans="1:16" ht="16.2" thickBot="1" x14ac:dyDescent="0.35">
      <c r="B226" s="729" t="s">
        <v>168</v>
      </c>
      <c r="C226" s="730"/>
      <c r="D226" s="730"/>
      <c r="E226" s="730"/>
      <c r="F226" s="730"/>
      <c r="G226" s="730"/>
      <c r="H226" s="730"/>
      <c r="I226" s="730"/>
      <c r="J226" s="730"/>
      <c r="K226" s="730"/>
      <c r="L226" s="730"/>
      <c r="M226" s="731"/>
      <c r="N226" s="731"/>
      <c r="O226" s="731"/>
      <c r="P226" s="732"/>
    </row>
    <row r="227" spans="1:16" ht="15.6" x14ac:dyDescent="0.3">
      <c r="A227" s="187" t="s">
        <v>106</v>
      </c>
      <c r="B227" s="165">
        <f>$V$9</f>
        <v>30</v>
      </c>
      <c r="C227" s="166">
        <f>$W$9</f>
        <v>80</v>
      </c>
      <c r="D227" s="166">
        <f>B227*C227^3/12</f>
        <v>1280000</v>
      </c>
      <c r="E227" s="166">
        <f>'Carichi unitari'!$M$5+0.6</f>
        <v>3.6</v>
      </c>
      <c r="F227" s="167">
        <f t="shared" ref="F227:F232" si="74">D227/(100*E227)</f>
        <v>3555.5555555555557</v>
      </c>
      <c r="G227" s="166"/>
      <c r="H227" s="436">
        <v>30.6</v>
      </c>
      <c r="I227" s="166">
        <f>'Carichi unitari'!$M$5+0.6</f>
        <v>3.6</v>
      </c>
      <c r="J227" s="167">
        <f t="shared" ref="J227:J232" si="75">D227/(100*I227)</f>
        <v>3555.5555555555557</v>
      </c>
      <c r="K227" s="166"/>
      <c r="L227" s="168">
        <v>30.06</v>
      </c>
      <c r="M227" s="195">
        <v>1</v>
      </c>
      <c r="N227" s="168"/>
      <c r="O227" s="170">
        <v>0</v>
      </c>
      <c r="P227" s="168"/>
    </row>
    <row r="228" spans="1:16" ht="15.6" x14ac:dyDescent="0.3">
      <c r="A228" s="188" t="s">
        <v>107</v>
      </c>
      <c r="B228" s="171">
        <f>'stima car. unit.'!$U$9*100</f>
        <v>60</v>
      </c>
      <c r="C228" s="210">
        <f>'stima car. unit.'!$T$9*100</f>
        <v>24</v>
      </c>
      <c r="D228" s="50">
        <f>B228*C228^3/12</f>
        <v>69120</v>
      </c>
      <c r="E228" s="99">
        <v>4.5999999999999996</v>
      </c>
      <c r="F228" s="172">
        <f t="shared" si="74"/>
        <v>150.2608695652174</v>
      </c>
      <c r="G228" s="172">
        <f>(F228+F228)/2</f>
        <v>150.2608695652174</v>
      </c>
      <c r="H228" s="434"/>
      <c r="I228" s="184">
        <v>5.2</v>
      </c>
      <c r="J228" s="172">
        <f t="shared" si="75"/>
        <v>132.92307692307693</v>
      </c>
      <c r="K228" s="172">
        <f>(J228+J228)/2</f>
        <v>132.92307692307693</v>
      </c>
      <c r="L228" s="248"/>
      <c r="M228" s="196"/>
      <c r="N228" s="154"/>
      <c r="O228" s="174"/>
      <c r="P228" s="173"/>
    </row>
    <row r="229" spans="1:16" ht="16.2" thickBot="1" x14ac:dyDescent="0.35">
      <c r="A229" s="189" t="s">
        <v>108</v>
      </c>
      <c r="B229" s="180"/>
      <c r="C229" s="48"/>
      <c r="D229" s="48">
        <f>1E+28</f>
        <v>9.9999999999999996E+27</v>
      </c>
      <c r="E229" s="181">
        <v>4.5999999999999996</v>
      </c>
      <c r="F229" s="213">
        <f t="shared" si="74"/>
        <v>2.1739130434782611E+25</v>
      </c>
      <c r="G229" s="213">
        <f>(F229+F229)/2</f>
        <v>2.1739130434782611E+25</v>
      </c>
      <c r="H229" s="211"/>
      <c r="I229" s="241">
        <v>5.2</v>
      </c>
      <c r="J229" s="214">
        <f t="shared" si="75"/>
        <v>1.9230769230769229E+25</v>
      </c>
      <c r="K229" s="214">
        <f>(J229+J229)/2</f>
        <v>1.9230769230769229E+25</v>
      </c>
      <c r="L229" s="178"/>
      <c r="M229" s="202"/>
      <c r="N229" s="155"/>
      <c r="O229" s="186"/>
      <c r="P229" s="183"/>
    </row>
    <row r="230" spans="1:16" ht="15.6" x14ac:dyDescent="0.3">
      <c r="A230" s="187" t="s">
        <v>106</v>
      </c>
      <c r="B230" s="165">
        <f>$W$9</f>
        <v>80</v>
      </c>
      <c r="C230" s="166">
        <f>$V$9</f>
        <v>30</v>
      </c>
      <c r="D230" s="166">
        <f>B230*C230^3/12</f>
        <v>180000</v>
      </c>
      <c r="E230" s="166">
        <f>'Carichi unitari'!$M$5+0.6</f>
        <v>3.6</v>
      </c>
      <c r="F230" s="166">
        <f t="shared" si="74"/>
        <v>500</v>
      </c>
      <c r="G230" s="166"/>
      <c r="H230" s="239">
        <v>7</v>
      </c>
      <c r="I230" s="166">
        <f>'Carichi unitari'!$M$5+0.6</f>
        <v>3.6</v>
      </c>
      <c r="J230" s="167">
        <f t="shared" si="75"/>
        <v>500</v>
      </c>
      <c r="K230" s="166"/>
      <c r="L230" s="168">
        <v>6.76</v>
      </c>
      <c r="M230" s="195">
        <v>1</v>
      </c>
      <c r="N230" s="169"/>
      <c r="O230" s="165">
        <v>0</v>
      </c>
      <c r="P230" s="168"/>
    </row>
    <row r="231" spans="1:16" ht="15.6" x14ac:dyDescent="0.3">
      <c r="A231" s="188" t="s">
        <v>107</v>
      </c>
      <c r="B231" s="171">
        <f>'stima car. unit.'!$U$9*100</f>
        <v>60</v>
      </c>
      <c r="C231" s="210">
        <f>'stima car. unit.'!$T$9*100</f>
        <v>24</v>
      </c>
      <c r="D231" s="50">
        <f>B231*C231^3/12</f>
        <v>69120</v>
      </c>
      <c r="E231" s="99">
        <v>4.5999999999999996</v>
      </c>
      <c r="F231" s="50">
        <f t="shared" si="74"/>
        <v>150.2608695652174</v>
      </c>
      <c r="G231" s="172">
        <f>(F231+F231)/2</f>
        <v>150.2608695652174</v>
      </c>
      <c r="H231" s="434"/>
      <c r="I231" s="184">
        <v>5.2</v>
      </c>
      <c r="J231" s="172">
        <f t="shared" si="75"/>
        <v>132.92307692307693</v>
      </c>
      <c r="K231" s="172">
        <f>(J231+J231)/2</f>
        <v>132.92307692307693</v>
      </c>
      <c r="L231" s="248"/>
      <c r="M231" s="242"/>
      <c r="N231" s="154"/>
      <c r="O231" s="171"/>
      <c r="P231" s="173"/>
    </row>
    <row r="232" spans="1:16" ht="16.2" thickBot="1" x14ac:dyDescent="0.35">
      <c r="A232" s="191" t="s">
        <v>108</v>
      </c>
      <c r="B232" s="180"/>
      <c r="C232" s="48"/>
      <c r="D232" s="48">
        <f>1E+28</f>
        <v>9.9999999999999996E+27</v>
      </c>
      <c r="E232" s="181">
        <v>4.5999999999999996</v>
      </c>
      <c r="F232" s="213">
        <f t="shared" si="74"/>
        <v>2.1739130434782611E+25</v>
      </c>
      <c r="G232" s="213">
        <f>(F232+F232)/2</f>
        <v>2.1739130434782611E+25</v>
      </c>
      <c r="H232" s="211"/>
      <c r="I232" s="185">
        <v>5.2</v>
      </c>
      <c r="J232" s="213">
        <f t="shared" si="75"/>
        <v>1.9230769230769229E+25</v>
      </c>
      <c r="K232" s="213">
        <f>(J232+J232)/2</f>
        <v>1.9230769230769229E+25</v>
      </c>
      <c r="L232" s="183"/>
      <c r="M232" s="243"/>
      <c r="N232" s="155"/>
      <c r="O232" s="180"/>
      <c r="P232" s="183"/>
    </row>
    <row r="233" spans="1:16" ht="16.2" thickBot="1" x14ac:dyDescent="0.35">
      <c r="B233" s="733" t="s">
        <v>171</v>
      </c>
      <c r="C233" s="734"/>
      <c r="D233" s="734"/>
      <c r="E233" s="734"/>
      <c r="F233" s="734"/>
      <c r="G233" s="734"/>
      <c r="H233" s="734"/>
      <c r="I233" s="734"/>
      <c r="J233" s="734"/>
      <c r="K233" s="734"/>
      <c r="L233" s="734"/>
      <c r="M233" s="735"/>
      <c r="N233" s="735"/>
      <c r="O233" s="735"/>
      <c r="P233" s="736"/>
    </row>
    <row r="234" spans="1:16" ht="15.6" x14ac:dyDescent="0.3">
      <c r="A234" s="187" t="s">
        <v>106</v>
      </c>
      <c r="B234" s="165">
        <f>$V$9</f>
        <v>30</v>
      </c>
      <c r="C234" s="166">
        <f>$W$9</f>
        <v>80</v>
      </c>
      <c r="D234" s="166">
        <f>B234*C234^3/12</f>
        <v>1280000</v>
      </c>
      <c r="E234" s="166">
        <f>'Carichi unitari'!$M$5+0.6</f>
        <v>3.6</v>
      </c>
      <c r="F234" s="167">
        <f t="shared" ref="F234:F239" si="76">D234/(100*E234)</f>
        <v>3555.5555555555557</v>
      </c>
      <c r="G234" s="166"/>
      <c r="H234" s="239">
        <v>47.88</v>
      </c>
      <c r="I234" s="166">
        <f>'Carichi unitari'!$M$5+0.6</f>
        <v>3.6</v>
      </c>
      <c r="J234" s="167">
        <f t="shared" ref="J234:J239" si="77">D234/(100*I234)</f>
        <v>3555.5555555555557</v>
      </c>
      <c r="K234" s="166"/>
      <c r="L234" s="168">
        <v>46</v>
      </c>
      <c r="M234" s="195">
        <v>6</v>
      </c>
      <c r="N234" s="169"/>
      <c r="O234" s="170">
        <v>0</v>
      </c>
      <c r="P234" s="168"/>
    </row>
    <row r="235" spans="1:16" ht="15.6" x14ac:dyDescent="0.3">
      <c r="A235" s="188" t="s">
        <v>107</v>
      </c>
      <c r="B235" s="171">
        <f>$T$10</f>
        <v>30</v>
      </c>
      <c r="C235" s="50">
        <f>$U$10</f>
        <v>70</v>
      </c>
      <c r="D235" s="50">
        <f>B235*C235^3/12</f>
        <v>857500</v>
      </c>
      <c r="E235" s="99">
        <v>4.5999999999999996</v>
      </c>
      <c r="F235" s="172">
        <f t="shared" si="76"/>
        <v>1864.130434782609</v>
      </c>
      <c r="G235" s="172">
        <f>(F235)/2</f>
        <v>932.06521739130449</v>
      </c>
      <c r="H235" s="434"/>
      <c r="I235" s="184">
        <v>5.2</v>
      </c>
      <c r="J235" s="172">
        <f t="shared" si="77"/>
        <v>1649.0384615384614</v>
      </c>
      <c r="K235" s="172">
        <f>(J235)/2</f>
        <v>824.51923076923072</v>
      </c>
      <c r="L235" s="248"/>
      <c r="M235" s="196"/>
      <c r="N235" s="154"/>
      <c r="O235" s="174"/>
      <c r="P235" s="173"/>
    </row>
    <row r="236" spans="1:16" ht="16.2" thickBot="1" x14ac:dyDescent="0.35">
      <c r="A236" s="189" t="s">
        <v>108</v>
      </c>
      <c r="B236" s="180"/>
      <c r="C236" s="48"/>
      <c r="D236" s="48">
        <f>1E+28</f>
        <v>9.9999999999999996E+27</v>
      </c>
      <c r="E236" s="149">
        <v>4.5999999999999996</v>
      </c>
      <c r="F236" s="214">
        <f t="shared" si="76"/>
        <v>2.1739130434782611E+25</v>
      </c>
      <c r="G236" s="214">
        <f>(F236)/2</f>
        <v>1.0869565217391305E+25</v>
      </c>
      <c r="H236" s="240"/>
      <c r="I236" s="241">
        <v>5.2</v>
      </c>
      <c r="J236" s="214">
        <f t="shared" si="77"/>
        <v>1.9230769230769229E+25</v>
      </c>
      <c r="K236" s="214">
        <f>(J236)/2</f>
        <v>9.6153846153846147E+24</v>
      </c>
      <c r="L236" s="178"/>
      <c r="M236" s="202"/>
      <c r="N236" s="155"/>
      <c r="O236" s="186"/>
      <c r="P236" s="183"/>
    </row>
    <row r="237" spans="1:16" ht="15.6" x14ac:dyDescent="0.3">
      <c r="A237" s="187" t="s">
        <v>106</v>
      </c>
      <c r="B237" s="165">
        <f>$W$9</f>
        <v>80</v>
      </c>
      <c r="C237" s="166">
        <f>$V$9</f>
        <v>30</v>
      </c>
      <c r="D237" s="166">
        <f>B237*C237^3/12</f>
        <v>180000</v>
      </c>
      <c r="E237" s="166">
        <f>'Carichi unitari'!$M$5+0.6</f>
        <v>3.6</v>
      </c>
      <c r="F237" s="167">
        <f t="shared" si="76"/>
        <v>500</v>
      </c>
      <c r="G237" s="167"/>
      <c r="H237" s="239">
        <v>11.7</v>
      </c>
      <c r="I237" s="166">
        <f>'Carichi unitari'!$M$5+0.6</f>
        <v>3.6</v>
      </c>
      <c r="J237" s="167">
        <f t="shared" si="77"/>
        <v>500</v>
      </c>
      <c r="K237" s="167"/>
      <c r="L237" s="168">
        <v>11.43</v>
      </c>
      <c r="M237" s="195">
        <v>2</v>
      </c>
      <c r="N237" s="169"/>
      <c r="O237" s="170">
        <v>12</v>
      </c>
      <c r="P237" s="168"/>
    </row>
    <row r="238" spans="1:16" ht="15.6" x14ac:dyDescent="0.3">
      <c r="A238" s="188" t="s">
        <v>107</v>
      </c>
      <c r="B238" s="171">
        <f>$T$10</f>
        <v>30</v>
      </c>
      <c r="C238" s="50">
        <f>$U$10</f>
        <v>70</v>
      </c>
      <c r="D238" s="50">
        <f>B238*C238^3/12</f>
        <v>857500</v>
      </c>
      <c r="E238" s="99">
        <v>4.5999999999999996</v>
      </c>
      <c r="F238" s="172">
        <f t="shared" si="76"/>
        <v>1864.130434782609</v>
      </c>
      <c r="G238" s="172">
        <f>(F238)/2</f>
        <v>932.06521739130449</v>
      </c>
      <c r="H238" s="210"/>
      <c r="I238" s="184">
        <v>5.2</v>
      </c>
      <c r="J238" s="172">
        <f t="shared" si="77"/>
        <v>1649.0384615384614</v>
      </c>
      <c r="K238" s="172">
        <f>(J238)/2</f>
        <v>824.51923076923072</v>
      </c>
      <c r="L238" s="248"/>
      <c r="M238" s="196"/>
      <c r="N238" s="154"/>
      <c r="O238" s="171"/>
      <c r="P238" s="173"/>
    </row>
    <row r="239" spans="1:16" ht="16.2" thickBot="1" x14ac:dyDescent="0.35">
      <c r="A239" s="191" t="s">
        <v>108</v>
      </c>
      <c r="B239" s="180"/>
      <c r="C239" s="48"/>
      <c r="D239" s="48">
        <f>1E+28</f>
        <v>9.9999999999999996E+27</v>
      </c>
      <c r="E239" s="181">
        <v>4.5999999999999996</v>
      </c>
      <c r="F239" s="213">
        <f t="shared" si="76"/>
        <v>2.1739130434782611E+25</v>
      </c>
      <c r="G239" s="213">
        <f>(F239)/2</f>
        <v>1.0869565217391305E+25</v>
      </c>
      <c r="H239" s="211"/>
      <c r="I239" s="185">
        <v>5.2</v>
      </c>
      <c r="J239" s="213">
        <f t="shared" si="77"/>
        <v>1.9230769230769229E+25</v>
      </c>
      <c r="K239" s="213">
        <f>(J239)/2</f>
        <v>9.6153846153846147E+24</v>
      </c>
      <c r="L239" s="183"/>
      <c r="M239" s="202"/>
      <c r="N239" s="155"/>
      <c r="O239" s="180"/>
      <c r="P239" s="183"/>
    </row>
    <row r="240" spans="1:16" ht="16.2" thickBot="1" x14ac:dyDescent="0.35">
      <c r="B240" s="733" t="s">
        <v>172</v>
      </c>
      <c r="C240" s="734"/>
      <c r="D240" s="734"/>
      <c r="E240" s="734"/>
      <c r="F240" s="734"/>
      <c r="G240" s="734"/>
      <c r="H240" s="734"/>
      <c r="I240" s="734"/>
      <c r="J240" s="734"/>
      <c r="K240" s="734"/>
      <c r="L240" s="734"/>
      <c r="M240" s="727"/>
      <c r="N240" s="727"/>
      <c r="O240" s="727"/>
      <c r="P240" s="728"/>
    </row>
    <row r="241" spans="1:16" ht="15.6" x14ac:dyDescent="0.3">
      <c r="A241" s="187" t="s">
        <v>106</v>
      </c>
      <c r="B241" s="165">
        <f>$V$9</f>
        <v>30</v>
      </c>
      <c r="C241" s="166">
        <f>$W$9</f>
        <v>80</v>
      </c>
      <c r="D241" s="166">
        <f>B241*C241^3/12</f>
        <v>1280000</v>
      </c>
      <c r="E241" s="166">
        <f>'Carichi unitari'!$M$5+0.6</f>
        <v>3.6</v>
      </c>
      <c r="F241" s="167">
        <f t="shared" ref="F241:F246" si="78">D241/(100*E241)</f>
        <v>3555.5555555555557</v>
      </c>
      <c r="G241" s="166"/>
      <c r="H241" s="436">
        <v>28.32</v>
      </c>
      <c r="I241" s="166">
        <f>'Carichi unitari'!$M$5+0.6</f>
        <v>3.6</v>
      </c>
      <c r="J241" s="167">
        <f t="shared" ref="J241:J246" si="79">D241/(100*I241)</f>
        <v>3555.5555555555557</v>
      </c>
      <c r="K241" s="166"/>
      <c r="L241" s="168">
        <v>28.05</v>
      </c>
      <c r="M241" s="195">
        <v>0</v>
      </c>
      <c r="N241" s="169"/>
      <c r="O241" s="170">
        <v>0</v>
      </c>
      <c r="P241" s="168"/>
    </row>
    <row r="242" spans="1:16" ht="15.6" x14ac:dyDescent="0.3">
      <c r="A242" s="188" t="s">
        <v>107</v>
      </c>
      <c r="B242" s="171">
        <f>'stima car. unit.'!$U$9*100</f>
        <v>60</v>
      </c>
      <c r="C242" s="210">
        <f>'stima car. unit.'!$T$9*100</f>
        <v>24</v>
      </c>
      <c r="D242" s="50">
        <f>B242*C242^3/12</f>
        <v>69120</v>
      </c>
      <c r="E242" s="99">
        <v>4.5999999999999996</v>
      </c>
      <c r="F242" s="172">
        <f t="shared" si="78"/>
        <v>150.2608695652174</v>
      </c>
      <c r="G242" s="172">
        <f>(F242)/2</f>
        <v>75.130434782608702</v>
      </c>
      <c r="H242" s="434"/>
      <c r="I242" s="184">
        <v>5.2</v>
      </c>
      <c r="J242" s="172">
        <f t="shared" si="79"/>
        <v>132.92307692307693</v>
      </c>
      <c r="K242" s="172">
        <f>(J242)/2</f>
        <v>66.461538461538467</v>
      </c>
      <c r="L242" s="248"/>
      <c r="M242" s="196"/>
      <c r="N242" s="154"/>
      <c r="O242" s="174"/>
      <c r="P242" s="173"/>
    </row>
    <row r="243" spans="1:16" ht="16.2" thickBot="1" x14ac:dyDescent="0.35">
      <c r="A243" s="189" t="s">
        <v>108</v>
      </c>
      <c r="B243" s="180"/>
      <c r="C243" s="48"/>
      <c r="D243" s="48">
        <f>1E+28</f>
        <v>9.9999999999999996E+27</v>
      </c>
      <c r="E243" s="181">
        <v>4.5999999999999996</v>
      </c>
      <c r="F243" s="213">
        <f t="shared" si="78"/>
        <v>2.1739130434782611E+25</v>
      </c>
      <c r="G243" s="213">
        <f>(F243)/2</f>
        <v>1.0869565217391305E+25</v>
      </c>
      <c r="H243" s="211"/>
      <c r="I243" s="241">
        <v>5.2</v>
      </c>
      <c r="J243" s="214">
        <f t="shared" si="79"/>
        <v>1.9230769230769229E+25</v>
      </c>
      <c r="K243" s="214">
        <f>(J243)/2</f>
        <v>9.6153846153846147E+24</v>
      </c>
      <c r="L243" s="178"/>
      <c r="M243" s="202"/>
      <c r="N243" s="155"/>
      <c r="O243" s="186"/>
      <c r="P243" s="183"/>
    </row>
    <row r="244" spans="1:16" ht="15.6" x14ac:dyDescent="0.3">
      <c r="A244" s="160" t="s">
        <v>106</v>
      </c>
      <c r="B244" s="165">
        <f>$W$9</f>
        <v>80</v>
      </c>
      <c r="C244" s="166">
        <f>$V$9</f>
        <v>30</v>
      </c>
      <c r="D244" s="199">
        <f>B244*C244^3/12</f>
        <v>180000</v>
      </c>
      <c r="E244" s="166">
        <f>'Carichi unitari'!$M$5+0.6</f>
        <v>3.6</v>
      </c>
      <c r="F244" s="200">
        <f t="shared" si="78"/>
        <v>500</v>
      </c>
      <c r="G244" s="200"/>
      <c r="H244" s="246">
        <v>5.66</v>
      </c>
      <c r="I244" s="166">
        <f>'Carichi unitari'!$M$5+0.6</f>
        <v>3.6</v>
      </c>
      <c r="J244" s="167">
        <f t="shared" si="79"/>
        <v>500</v>
      </c>
      <c r="K244" s="167"/>
      <c r="L244" s="168">
        <v>5.46</v>
      </c>
      <c r="M244" s="195">
        <v>2</v>
      </c>
      <c r="N244" s="169"/>
      <c r="O244" s="170">
        <v>0</v>
      </c>
      <c r="P244" s="168"/>
    </row>
    <row r="245" spans="1:16" ht="15.6" x14ac:dyDescent="0.3">
      <c r="A245" s="161" t="s">
        <v>107</v>
      </c>
      <c r="B245" s="171">
        <f>'stima car. unit.'!$U$9*100</f>
        <v>60</v>
      </c>
      <c r="C245" s="210">
        <f>'stima car. unit.'!$T$9*100</f>
        <v>24</v>
      </c>
      <c r="D245" s="50">
        <f>B245*C245^3/12</f>
        <v>69120</v>
      </c>
      <c r="E245" s="99">
        <v>4.5999999999999996</v>
      </c>
      <c r="F245" s="172">
        <f t="shared" si="78"/>
        <v>150.2608695652174</v>
      </c>
      <c r="G245" s="172">
        <f>(F245)/2</f>
        <v>75.130434782608702</v>
      </c>
      <c r="H245" s="434"/>
      <c r="I245" s="184">
        <v>5.2</v>
      </c>
      <c r="J245" s="172">
        <f t="shared" si="79"/>
        <v>132.92307692307693</v>
      </c>
      <c r="K245" s="172">
        <f>(J245)/2</f>
        <v>66.461538461538467</v>
      </c>
      <c r="L245" s="248"/>
      <c r="M245" s="196"/>
      <c r="N245" s="154"/>
      <c r="O245" s="171"/>
      <c r="P245" s="173"/>
    </row>
    <row r="246" spans="1:16" ht="16.2" thickBot="1" x14ac:dyDescent="0.35">
      <c r="A246" s="162" t="s">
        <v>108</v>
      </c>
      <c r="B246" s="171"/>
      <c r="C246" s="50"/>
      <c r="D246" s="48">
        <f>1E+28</f>
        <v>9.9999999999999996E+27</v>
      </c>
      <c r="E246" s="181">
        <v>4.5999999999999996</v>
      </c>
      <c r="F246" s="213">
        <f t="shared" si="78"/>
        <v>2.1739130434782611E+25</v>
      </c>
      <c r="G246" s="213">
        <f>(F246)/2</f>
        <v>1.0869565217391305E+25</v>
      </c>
      <c r="H246" s="211"/>
      <c r="I246" s="185">
        <v>5.2</v>
      </c>
      <c r="J246" s="213">
        <f t="shared" si="79"/>
        <v>1.9230769230769229E+25</v>
      </c>
      <c r="K246" s="213">
        <f>(J246)/2</f>
        <v>9.6153846153846147E+24</v>
      </c>
      <c r="L246" s="183"/>
      <c r="M246" s="202"/>
      <c r="N246" s="155"/>
      <c r="O246" s="180"/>
      <c r="P246" s="183"/>
    </row>
    <row r="247" spans="1:16" ht="16.2" thickBot="1" x14ac:dyDescent="0.35">
      <c r="B247" s="725" t="s">
        <v>173</v>
      </c>
      <c r="C247" s="726"/>
      <c r="D247" s="726"/>
      <c r="E247" s="726"/>
      <c r="F247" s="726"/>
      <c r="G247" s="726"/>
      <c r="H247" s="726"/>
      <c r="I247" s="734"/>
      <c r="J247" s="734"/>
      <c r="K247" s="734"/>
      <c r="L247" s="734"/>
      <c r="M247" s="726"/>
      <c r="N247" s="726"/>
      <c r="O247" s="726"/>
      <c r="P247" s="737"/>
    </row>
    <row r="248" spans="1:16" ht="15.6" x14ac:dyDescent="0.3">
      <c r="A248" s="187" t="s">
        <v>106</v>
      </c>
      <c r="B248" s="165">
        <f>$V$9</f>
        <v>30</v>
      </c>
      <c r="C248" s="166">
        <f>$W$9</f>
        <v>80</v>
      </c>
      <c r="D248" s="166">
        <f>B248*C248^3/12</f>
        <v>1280000</v>
      </c>
      <c r="E248" s="166">
        <f>'Carichi unitari'!$M$5+0.6</f>
        <v>3.6</v>
      </c>
      <c r="F248" s="167">
        <f>D248/(100*E248)</f>
        <v>3555.5555555555557</v>
      </c>
      <c r="G248" s="166"/>
      <c r="H248" s="239">
        <v>49.92</v>
      </c>
      <c r="I248" s="166">
        <f>'Carichi unitari'!$M$5+0.6</f>
        <v>3.6</v>
      </c>
      <c r="J248" s="167">
        <f>D248/(100*I248)</f>
        <v>3555.5555555555557</v>
      </c>
      <c r="K248" s="166"/>
      <c r="L248" s="168">
        <v>47.93</v>
      </c>
      <c r="M248" s="195">
        <v>0</v>
      </c>
      <c r="N248" s="169"/>
      <c r="O248" s="170">
        <v>1</v>
      </c>
      <c r="P248" s="168"/>
    </row>
    <row r="249" spans="1:16" ht="15.6" x14ac:dyDescent="0.3">
      <c r="A249" s="188" t="s">
        <v>107</v>
      </c>
      <c r="B249" s="171">
        <f>$X$5</f>
        <v>100</v>
      </c>
      <c r="C249" s="50">
        <f>$Y$5</f>
        <v>24</v>
      </c>
      <c r="D249" s="50">
        <f t="shared" ref="D249:D255" si="80">B249*C249^3/12</f>
        <v>115200</v>
      </c>
      <c r="E249" s="99">
        <v>4.5999999999999996</v>
      </c>
      <c r="F249" s="172">
        <f t="shared" ref="F249:F257" si="81">D249/(100*E249)</f>
        <v>250.43478260869568</v>
      </c>
      <c r="G249" s="172">
        <f>(F249+F250)/2</f>
        <v>1057.2826086956522</v>
      </c>
      <c r="H249" s="434"/>
      <c r="I249" s="184">
        <v>5.2</v>
      </c>
      <c r="J249" s="172">
        <f t="shared" ref="J249:J257" si="82">D249/(100*I249)</f>
        <v>221.53846153846155</v>
      </c>
      <c r="K249" s="172">
        <f>(J249+J250)/2</f>
        <v>935.28846153846143</v>
      </c>
      <c r="L249" s="248"/>
      <c r="M249" s="196"/>
      <c r="N249" s="154"/>
      <c r="O249" s="174"/>
      <c r="P249" s="173"/>
    </row>
    <row r="250" spans="1:16" ht="15.6" x14ac:dyDescent="0.3">
      <c r="A250" s="189"/>
      <c r="B250" s="171">
        <f>$T$10</f>
        <v>30</v>
      </c>
      <c r="C250" s="50">
        <f>$U$10</f>
        <v>70</v>
      </c>
      <c r="D250" s="50">
        <f t="shared" si="80"/>
        <v>857500</v>
      </c>
      <c r="E250" s="99">
        <v>4.5999999999999996</v>
      </c>
      <c r="F250" s="172">
        <f t="shared" si="81"/>
        <v>1864.130434782609</v>
      </c>
      <c r="G250" s="172"/>
      <c r="H250" s="210"/>
      <c r="I250" s="184">
        <v>5.2</v>
      </c>
      <c r="J250" s="172">
        <f t="shared" si="82"/>
        <v>1649.0384615384614</v>
      </c>
      <c r="K250" s="172"/>
      <c r="L250" s="173"/>
      <c r="M250" s="196"/>
      <c r="N250" s="154"/>
      <c r="O250" s="174"/>
      <c r="P250" s="173"/>
    </row>
    <row r="251" spans="1:16" ht="16.2" thickBot="1" x14ac:dyDescent="0.35">
      <c r="A251" s="189" t="s">
        <v>108</v>
      </c>
      <c r="B251" s="171"/>
      <c r="C251" s="50"/>
      <c r="D251" s="48">
        <f>1E+28</f>
        <v>9.9999999999999996E+27</v>
      </c>
      <c r="E251" s="99">
        <v>4.5999999999999996</v>
      </c>
      <c r="F251" s="215">
        <f t="shared" si="81"/>
        <v>2.1739130434782611E+25</v>
      </c>
      <c r="G251" s="215">
        <f>(F251+F252)/2</f>
        <v>2.1739130434782611E+25</v>
      </c>
      <c r="H251" s="210"/>
      <c r="I251" s="184">
        <v>5.2</v>
      </c>
      <c r="J251" s="215">
        <f t="shared" si="82"/>
        <v>1.9230769230769229E+25</v>
      </c>
      <c r="K251" s="215">
        <f>(J251+J252)/2</f>
        <v>1.9230769230769229E+25</v>
      </c>
      <c r="L251" s="173"/>
      <c r="M251" s="196"/>
      <c r="N251" s="154"/>
      <c r="O251" s="174"/>
      <c r="P251" s="173"/>
    </row>
    <row r="252" spans="1:16" ht="16.2" thickBot="1" x14ac:dyDescent="0.35">
      <c r="A252" s="190"/>
      <c r="B252" s="175"/>
      <c r="C252" s="176"/>
      <c r="D252" s="48">
        <f>1E+28</f>
        <v>9.9999999999999996E+27</v>
      </c>
      <c r="E252" s="149">
        <v>4.5999999999999996</v>
      </c>
      <c r="F252" s="214">
        <f t="shared" si="81"/>
        <v>2.1739130434782611E+25</v>
      </c>
      <c r="G252" s="214"/>
      <c r="H252" s="240"/>
      <c r="I252" s="241">
        <v>5.2</v>
      </c>
      <c r="J252" s="214">
        <f t="shared" si="82"/>
        <v>1.9230769230769229E+25</v>
      </c>
      <c r="K252" s="214"/>
      <c r="L252" s="178"/>
      <c r="M252" s="202"/>
      <c r="N252" s="155"/>
      <c r="O252" s="186"/>
      <c r="P252" s="183"/>
    </row>
    <row r="253" spans="1:16" ht="15.6" x14ac:dyDescent="0.3">
      <c r="A253" s="187" t="s">
        <v>106</v>
      </c>
      <c r="B253" s="165">
        <f>$W$9</f>
        <v>80</v>
      </c>
      <c r="C253" s="166">
        <f>$V$9</f>
        <v>30</v>
      </c>
      <c r="D253" s="166">
        <f t="shared" si="80"/>
        <v>180000</v>
      </c>
      <c r="E253" s="166">
        <f>'Carichi unitari'!$M$5+0.6</f>
        <v>3.6</v>
      </c>
      <c r="F253" s="167">
        <f t="shared" si="81"/>
        <v>500</v>
      </c>
      <c r="G253" s="167"/>
      <c r="H253" s="239">
        <v>11.86</v>
      </c>
      <c r="I253" s="166">
        <f>'Carichi unitari'!$M$5+0.6</f>
        <v>3.6</v>
      </c>
      <c r="J253" s="167">
        <f t="shared" si="82"/>
        <v>500</v>
      </c>
      <c r="K253" s="167"/>
      <c r="L253" s="168">
        <v>11.61</v>
      </c>
      <c r="M253" s="195">
        <v>4</v>
      </c>
      <c r="N253" s="169"/>
      <c r="O253" s="170">
        <v>1</v>
      </c>
      <c r="P253" s="168"/>
    </row>
    <row r="254" spans="1:16" ht="15.6" x14ac:dyDescent="0.3">
      <c r="A254" s="188" t="s">
        <v>107</v>
      </c>
      <c r="B254" s="171">
        <f>'stima car. unit.'!$U$9*100</f>
        <v>60</v>
      </c>
      <c r="C254" s="210">
        <f>'stima car. unit.'!$T$9*100</f>
        <v>24</v>
      </c>
      <c r="D254" s="50">
        <f t="shared" si="80"/>
        <v>69120</v>
      </c>
      <c r="E254" s="99">
        <v>4.5999999999999996</v>
      </c>
      <c r="F254" s="172">
        <f t="shared" si="81"/>
        <v>150.2608695652174</v>
      </c>
      <c r="G254" s="172">
        <f>(F254+F255)/2</f>
        <v>1007.1956521739132</v>
      </c>
      <c r="H254" s="210"/>
      <c r="I254" s="184">
        <v>5.2</v>
      </c>
      <c r="J254" s="172">
        <f t="shared" si="82"/>
        <v>132.92307692307693</v>
      </c>
      <c r="K254" s="172">
        <f>(J254+J255)/2</f>
        <v>890.98076923076917</v>
      </c>
      <c r="L254" s="248"/>
      <c r="M254" s="196"/>
      <c r="N254" s="154"/>
      <c r="O254" s="171"/>
      <c r="P254" s="173"/>
    </row>
    <row r="255" spans="1:16" x14ac:dyDescent="0.3">
      <c r="B255" s="171">
        <f>$T$10</f>
        <v>30</v>
      </c>
      <c r="C255" s="50">
        <f>$U$10</f>
        <v>70</v>
      </c>
      <c r="D255" s="50">
        <f t="shared" si="80"/>
        <v>857500</v>
      </c>
      <c r="E255" s="99">
        <v>4.5999999999999996</v>
      </c>
      <c r="F255" s="172">
        <f t="shared" si="81"/>
        <v>1864.130434782609</v>
      </c>
      <c r="G255" s="97"/>
      <c r="H255" s="244"/>
      <c r="I255" s="184">
        <v>5.2</v>
      </c>
      <c r="J255" s="172">
        <f t="shared" si="82"/>
        <v>1649.0384615384614</v>
      </c>
      <c r="K255" s="97"/>
      <c r="L255" s="117"/>
      <c r="M255" s="203"/>
      <c r="N255" s="117"/>
      <c r="O255" s="193"/>
      <c r="P255" s="117"/>
    </row>
    <row r="256" spans="1:16" ht="16.2" thickBot="1" x14ac:dyDescent="0.35">
      <c r="A256" s="191" t="s">
        <v>108</v>
      </c>
      <c r="B256" s="171"/>
      <c r="C256" s="50"/>
      <c r="D256" s="48">
        <f>1E+28</f>
        <v>9.9999999999999996E+27</v>
      </c>
      <c r="E256" s="99">
        <v>4.5999999999999996</v>
      </c>
      <c r="F256" s="215">
        <f t="shared" si="81"/>
        <v>2.1739130434782611E+25</v>
      </c>
      <c r="G256" s="215">
        <f>(F256+F257)/2</f>
        <v>2.1739130434782611E+25</v>
      </c>
      <c r="H256" s="210"/>
      <c r="I256" s="184">
        <v>5.2</v>
      </c>
      <c r="J256" s="215">
        <f t="shared" si="82"/>
        <v>1.9230769230769229E+25</v>
      </c>
      <c r="K256" s="215">
        <f>(J256+J257)/2</f>
        <v>1.9230769230769229E+25</v>
      </c>
      <c r="L256" s="173"/>
      <c r="M256" s="196"/>
      <c r="N256" s="154"/>
      <c r="O256" s="171"/>
      <c r="P256" s="173"/>
    </row>
    <row r="257" spans="1:28" ht="15" thickBot="1" x14ac:dyDescent="0.35">
      <c r="B257" s="180"/>
      <c r="C257" s="48"/>
      <c r="D257" s="48">
        <f>1E+28</f>
        <v>9.9999999999999996E+27</v>
      </c>
      <c r="E257" s="181">
        <v>4.5999999999999996</v>
      </c>
      <c r="F257" s="213">
        <f t="shared" si="81"/>
        <v>2.1739130434782611E+25</v>
      </c>
      <c r="G257" s="216"/>
      <c r="H257" s="245"/>
      <c r="I257" s="185">
        <v>5.2</v>
      </c>
      <c r="J257" s="213">
        <f t="shared" si="82"/>
        <v>1.9230769230769229E+25</v>
      </c>
      <c r="K257" s="216"/>
      <c r="L257" s="192"/>
      <c r="M257" s="204"/>
      <c r="N257" s="192"/>
      <c r="O257" s="194"/>
      <c r="P257" s="192"/>
    </row>
    <row r="260" spans="1:28" ht="18" x14ac:dyDescent="0.3">
      <c r="A260" s="742" t="s">
        <v>184</v>
      </c>
      <c r="B260" s="742"/>
      <c r="C260" s="742"/>
      <c r="D260" s="742"/>
      <c r="E260" s="742"/>
      <c r="F260" s="742"/>
      <c r="G260" s="742"/>
      <c r="H260" s="742"/>
      <c r="I260" s="742"/>
      <c r="J260" s="742"/>
    </row>
    <row r="261" spans="1:28" ht="15.6" x14ac:dyDescent="0.3">
      <c r="A261" s="702" t="s">
        <v>81</v>
      </c>
      <c r="B261" s="701" t="s">
        <v>177</v>
      </c>
      <c r="C261" s="701" t="s">
        <v>178</v>
      </c>
      <c r="D261" s="1"/>
      <c r="E261" s="1"/>
      <c r="F261" s="1"/>
      <c r="G261" s="1"/>
      <c r="H261" s="1"/>
      <c r="I261" s="1"/>
      <c r="J261" s="1"/>
    </row>
    <row r="262" spans="1:28" ht="15.6" x14ac:dyDescent="0.3">
      <c r="A262" s="702"/>
      <c r="B262" s="701"/>
      <c r="C262" s="701"/>
      <c r="D262" s="1"/>
      <c r="E262" s="1"/>
      <c r="F262" s="1"/>
      <c r="G262" s="1"/>
      <c r="H262" s="1"/>
      <c r="I262" s="1"/>
      <c r="J262" s="1"/>
    </row>
    <row r="263" spans="1:28" ht="15.6" x14ac:dyDescent="0.3">
      <c r="A263" s="219" t="s">
        <v>64</v>
      </c>
      <c r="B263" s="218">
        <f>'Ap. tipologi di pila '!N6</f>
        <v>256.057370302923</v>
      </c>
      <c r="C263" s="218">
        <f>'Ap. tipologi di pila '!P6</f>
        <v>253.56132897548517</v>
      </c>
      <c r="D263" s="1"/>
      <c r="E263" s="1"/>
      <c r="F263" s="1"/>
      <c r="G263" s="1"/>
      <c r="H263" s="1"/>
      <c r="I263" s="1"/>
      <c r="J263" s="1"/>
    </row>
    <row r="264" spans="1:28" ht="15.6" x14ac:dyDescent="0.3">
      <c r="A264" s="207">
        <v>5</v>
      </c>
      <c r="B264" s="218">
        <f>'Ap. tipologi di pila '!N49</f>
        <v>297.38193270505752</v>
      </c>
      <c r="C264" s="218">
        <f>'Ap. tipologi di pila '!P49</f>
        <v>295.19505484639649</v>
      </c>
      <c r="D264" s="1"/>
      <c r="E264" s="1"/>
      <c r="F264" s="1"/>
      <c r="G264" s="1"/>
      <c r="H264" s="1"/>
      <c r="I264" s="1"/>
      <c r="J264" s="1"/>
    </row>
    <row r="265" spans="1:28" ht="15.6" x14ac:dyDescent="0.3">
      <c r="A265" s="207">
        <v>4</v>
      </c>
      <c r="B265" s="218">
        <f>'Ap. tipologi di pila '!N92</f>
        <v>462.25101239401732</v>
      </c>
      <c r="C265" s="218">
        <f>'Ap. tipologi di pila '!P92</f>
        <v>455.45137656230611</v>
      </c>
      <c r="D265" s="1"/>
      <c r="E265" s="1"/>
      <c r="F265" s="1"/>
      <c r="G265" s="1"/>
      <c r="H265" s="1"/>
      <c r="I265" s="1"/>
      <c r="J265" s="1"/>
    </row>
    <row r="266" spans="1:28" ht="15.6" x14ac:dyDescent="0.3">
      <c r="A266" s="207">
        <v>3</v>
      </c>
      <c r="B266" s="218">
        <f>'Ap. tipologi di pila '!N135</f>
        <v>538.52203625445554</v>
      </c>
      <c r="C266" s="218">
        <f>'Ap. tipologi di pila '!P135</f>
        <v>526.96251461390204</v>
      </c>
      <c r="D266" s="1"/>
      <c r="E266" s="1"/>
      <c r="F266" s="1"/>
      <c r="G266" s="1"/>
      <c r="H266" s="1"/>
      <c r="I266" s="1"/>
      <c r="J266" s="1"/>
    </row>
    <row r="267" spans="1:28" ht="15.6" x14ac:dyDescent="0.3">
      <c r="A267" s="207">
        <v>2</v>
      </c>
      <c r="B267" s="218">
        <f>'Ap. tipologi di pila '!N178</f>
        <v>605.75040523403584</v>
      </c>
      <c r="C267" s="218">
        <f>'Ap. tipologi di pila '!P178</f>
        <v>592.24122490834247</v>
      </c>
      <c r="D267" s="1"/>
      <c r="E267" s="1"/>
      <c r="F267" s="1"/>
      <c r="G267" s="1"/>
      <c r="H267" s="1"/>
      <c r="I267" s="1"/>
      <c r="J267" s="1"/>
    </row>
    <row r="268" spans="1:28" ht="15.6" x14ac:dyDescent="0.3">
      <c r="A268" s="207">
        <v>1</v>
      </c>
      <c r="B268" s="218">
        <f>'Ap. tipologi di pila '!N220</f>
        <v>841.34000000000015</v>
      </c>
      <c r="C268" s="218">
        <f>'Ap. tipologi di pila '!P220</f>
        <v>730</v>
      </c>
      <c r="D268" s="1"/>
      <c r="E268" s="1"/>
      <c r="F268" s="1"/>
      <c r="G268" s="1"/>
      <c r="H268" s="1"/>
      <c r="I268" s="1"/>
      <c r="J268" s="1"/>
    </row>
    <row r="269" spans="1:28" ht="15.6" x14ac:dyDescent="0.3">
      <c r="A269" s="1"/>
      <c r="B269" s="208"/>
      <c r="C269" s="208"/>
      <c r="D269" s="1"/>
      <c r="E269" s="1"/>
      <c r="F269" s="1"/>
      <c r="G269" s="1"/>
      <c r="H269" s="1"/>
      <c r="I269" s="1"/>
      <c r="J269" s="1"/>
    </row>
    <row r="270" spans="1:28" ht="16.2" thickBot="1" x14ac:dyDescent="0.35">
      <c r="A270" s="615" t="s">
        <v>112</v>
      </c>
      <c r="B270" s="615"/>
      <c r="C270" s="615"/>
      <c r="D270" s="615"/>
      <c r="E270" s="615"/>
      <c r="F270" s="615"/>
      <c r="G270" s="615"/>
      <c r="H270" s="615" t="s">
        <v>112</v>
      </c>
      <c r="I270" s="615"/>
      <c r="J270" s="615"/>
      <c r="L270" s="615" t="s">
        <v>162</v>
      </c>
      <c r="M270" s="615"/>
      <c r="N270" s="615"/>
      <c r="O270" s="615"/>
      <c r="P270" s="615"/>
      <c r="Q270" s="615"/>
      <c r="R270" s="615"/>
      <c r="S270" s="615" t="s">
        <v>162</v>
      </c>
      <c r="T270" s="615"/>
      <c r="U270" s="615"/>
      <c r="Y270" s="615" t="s">
        <v>162</v>
      </c>
      <c r="Z270" s="615"/>
      <c r="AA270" s="615"/>
      <c r="AB270" s="615"/>
    </row>
    <row r="271" spans="1:28" ht="14.4" customHeight="1" x14ac:dyDescent="0.3">
      <c r="A271" s="714" t="s">
        <v>81</v>
      </c>
      <c r="B271" s="707" t="s">
        <v>77</v>
      </c>
      <c r="C271" s="712" t="s">
        <v>78</v>
      </c>
      <c r="D271" s="705" t="s">
        <v>215</v>
      </c>
      <c r="E271" s="705" t="s">
        <v>179</v>
      </c>
      <c r="F271" s="705" t="s">
        <v>175</v>
      </c>
      <c r="G271" s="707" t="s">
        <v>68</v>
      </c>
      <c r="H271" s="717" t="s">
        <v>183</v>
      </c>
      <c r="I271" s="717" t="s">
        <v>180</v>
      </c>
      <c r="J271" s="718" t="s">
        <v>182</v>
      </c>
      <c r="L271" s="714" t="s">
        <v>81</v>
      </c>
      <c r="M271" s="707" t="s">
        <v>77</v>
      </c>
      <c r="N271" s="712" t="s">
        <v>78</v>
      </c>
      <c r="O271" s="705" t="s">
        <v>178</v>
      </c>
      <c r="P271" s="705" t="s">
        <v>179</v>
      </c>
      <c r="Q271" s="705" t="s">
        <v>175</v>
      </c>
      <c r="R271" s="707" t="s">
        <v>68</v>
      </c>
      <c r="S271" s="709" t="s">
        <v>183</v>
      </c>
      <c r="T271" s="709" t="s">
        <v>180</v>
      </c>
      <c r="U271" s="703" t="s">
        <v>182</v>
      </c>
      <c r="Y271" s="714" t="s">
        <v>81</v>
      </c>
      <c r="Z271" s="717" t="s">
        <v>183</v>
      </c>
      <c r="AA271" s="717" t="s">
        <v>478</v>
      </c>
      <c r="AB271" s="718" t="s">
        <v>182</v>
      </c>
    </row>
    <row r="272" spans="1:28" ht="21.6" customHeight="1" thickBot="1" x14ac:dyDescent="0.35">
      <c r="A272" s="715"/>
      <c r="B272" s="708"/>
      <c r="C272" s="713"/>
      <c r="D272" s="706"/>
      <c r="E272" s="706"/>
      <c r="F272" s="706"/>
      <c r="G272" s="708"/>
      <c r="H272" s="710"/>
      <c r="I272" s="710"/>
      <c r="J272" s="704"/>
      <c r="L272" s="715"/>
      <c r="M272" s="708"/>
      <c r="N272" s="713"/>
      <c r="O272" s="706"/>
      <c r="P272" s="706"/>
      <c r="Q272" s="706"/>
      <c r="R272" s="708"/>
      <c r="S272" s="710"/>
      <c r="T272" s="710"/>
      <c r="U272" s="704"/>
      <c r="Y272" s="715"/>
      <c r="Z272" s="710"/>
      <c r="AA272" s="710"/>
      <c r="AB272" s="704"/>
    </row>
    <row r="273" spans="1:28" ht="16.2" thickBot="1" x14ac:dyDescent="0.35">
      <c r="A273" s="219" t="s">
        <v>64</v>
      </c>
      <c r="B273" s="57">
        <f>' Masse e forze'!I9</f>
        <v>630.92128965500399</v>
      </c>
      <c r="C273" s="57">
        <f>' Masse e forze'!J9</f>
        <v>630.92128965500399</v>
      </c>
      <c r="D273" s="57">
        <f t="shared" ref="D273:D278" si="83">B263</f>
        <v>256.057370302923</v>
      </c>
      <c r="E273" s="57">
        <f t="shared" ref="E273:E278" si="84">C273/D273</f>
        <v>2.4639841021119859</v>
      </c>
      <c r="F273" s="57">
        <f>E273+F274</f>
        <v>22.865755760556969</v>
      </c>
      <c r="G273" s="57">
        <f>' Masse e forze'!G9</f>
        <v>325.9479549781895</v>
      </c>
      <c r="H273" s="57">
        <f t="shared" ref="H273:H278" si="85">B273*F273</f>
        <v>14426.492113386939</v>
      </c>
      <c r="I273" s="57">
        <f t="shared" ref="I273:I278" si="86">G273/1000*F273^2</f>
        <v>170.41953703524388</v>
      </c>
      <c r="J273" s="221">
        <f>2*3.14*SQRT(I279/H279)</f>
        <v>0.69120461503326835</v>
      </c>
      <c r="L273" s="219" t="s">
        <v>64</v>
      </c>
      <c r="M273" s="57">
        <f t="shared" ref="M273:N278" si="87">B273</f>
        <v>630.92128965500399</v>
      </c>
      <c r="N273" s="57">
        <f t="shared" si="87"/>
        <v>630.92128965500399</v>
      </c>
      <c r="O273" s="57">
        <f t="shared" ref="O273:O278" si="88">C263</f>
        <v>253.56132897548517</v>
      </c>
      <c r="P273" s="57">
        <f t="shared" ref="P273:P278" si="89">N273/O273</f>
        <v>2.4882394022946723</v>
      </c>
      <c r="Q273" s="57">
        <f>P273+Q274</f>
        <v>23.675985960320887</v>
      </c>
      <c r="R273" s="57">
        <f t="shared" ref="R273:R278" si="90">G273</f>
        <v>325.9479549781895</v>
      </c>
      <c r="S273" s="57">
        <f t="shared" ref="S273:S278" si="91">M273*Q273</f>
        <v>14937.683595939421</v>
      </c>
      <c r="T273" s="57">
        <f t="shared" ref="T273:T278" si="92">R273/1000*Q273^2</f>
        <v>182.71087949175765</v>
      </c>
      <c r="U273" s="221">
        <f>2*3.14*SQRT(T279/S279)</f>
        <v>0.70628052459507584</v>
      </c>
      <c r="Y273" s="478" t="s">
        <v>64</v>
      </c>
      <c r="Z273" s="57">
        <v>15161.466002227444</v>
      </c>
      <c r="AA273" s="57">
        <v>185.44808302167982</v>
      </c>
      <c r="AB273" s="221">
        <v>0.70628052459507584</v>
      </c>
    </row>
    <row r="274" spans="1:28" ht="15.6" x14ac:dyDescent="0.3">
      <c r="A274" s="207">
        <v>5</v>
      </c>
      <c r="B274" s="57">
        <f>' Masse e forze'!I10</f>
        <v>690.89820449766194</v>
      </c>
      <c r="C274" s="57">
        <f>' Masse e forze'!J10</f>
        <v>1321.8194941526658</v>
      </c>
      <c r="D274" s="57">
        <f t="shared" si="83"/>
        <v>297.38193270505752</v>
      </c>
      <c r="E274" s="57">
        <f t="shared" si="84"/>
        <v>4.4448547432894729</v>
      </c>
      <c r="F274" s="57">
        <f>E274+F275</f>
        <v>20.401771658444982</v>
      </c>
      <c r="G274" s="57">
        <f>' Masse e forze'!G10</f>
        <v>426.57889563238575</v>
      </c>
      <c r="H274" s="57">
        <f t="shared" si="85"/>
        <v>14095.547407390924</v>
      </c>
      <c r="I274" s="57">
        <f t="shared" si="86"/>
        <v>177.55590923110651</v>
      </c>
      <c r="J274" s="1"/>
      <c r="L274" s="207">
        <v>5</v>
      </c>
      <c r="M274" s="57">
        <f t="shared" si="87"/>
        <v>690.89820449766194</v>
      </c>
      <c r="N274" s="57">
        <f t="shared" si="87"/>
        <v>1321.8194941526658</v>
      </c>
      <c r="O274" s="57">
        <f t="shared" si="88"/>
        <v>295.19505484639649</v>
      </c>
      <c r="P274" s="57">
        <f t="shared" si="89"/>
        <v>4.4777833247933945</v>
      </c>
      <c r="Q274" s="57">
        <f>P274+Q275</f>
        <v>21.187746558026213</v>
      </c>
      <c r="R274" s="57">
        <f t="shared" si="90"/>
        <v>426.57889563238575</v>
      </c>
      <c r="S274" s="57">
        <f t="shared" si="91"/>
        <v>14638.576054291827</v>
      </c>
      <c r="T274" s="57">
        <f t="shared" si="92"/>
        <v>191.50005556931009</v>
      </c>
      <c r="U274" s="1"/>
      <c r="Y274" s="478">
        <v>5</v>
      </c>
      <c r="Z274" s="57">
        <v>14857.877511108742</v>
      </c>
      <c r="AA274" s="57">
        <v>194.36893031580956</v>
      </c>
      <c r="AB274" s="1"/>
    </row>
    <row r="275" spans="1:28" ht="15.6" x14ac:dyDescent="0.3">
      <c r="A275" s="207">
        <v>4</v>
      </c>
      <c r="B275" s="57">
        <f>' Masse e forze'!I11</f>
        <v>558.36113126631869</v>
      </c>
      <c r="C275" s="57">
        <f>' Masse e forze'!J11</f>
        <v>1880.1806254189846</v>
      </c>
      <c r="D275" s="57">
        <f t="shared" si="83"/>
        <v>462.25101239401732</v>
      </c>
      <c r="E275" s="57">
        <f t="shared" si="84"/>
        <v>4.0674451218212599</v>
      </c>
      <c r="F275" s="57">
        <f>E275+F276</f>
        <v>15.956916915155508</v>
      </c>
      <c r="G275" s="57">
        <f>' Masse e forze'!G11</f>
        <v>428.32201489844073</v>
      </c>
      <c r="H275" s="57">
        <f t="shared" si="85"/>
        <v>8909.7221802688855</v>
      </c>
      <c r="I275" s="57">
        <f t="shared" si="86"/>
        <v>109.0607209661747</v>
      </c>
      <c r="J275" s="1"/>
      <c r="L275" s="207">
        <v>4</v>
      </c>
      <c r="M275" s="57">
        <f t="shared" si="87"/>
        <v>558.36113126631869</v>
      </c>
      <c r="N275" s="57">
        <f t="shared" si="87"/>
        <v>1880.1806254189846</v>
      </c>
      <c r="O275" s="57">
        <f t="shared" si="88"/>
        <v>455.45137656230611</v>
      </c>
      <c r="P275" s="57">
        <f t="shared" si="89"/>
        <v>4.12816981608524</v>
      </c>
      <c r="Q275" s="57">
        <f>P275+Q276</f>
        <v>16.70996323323282</v>
      </c>
      <c r="R275" s="57">
        <f t="shared" si="90"/>
        <v>428.32201489844073</v>
      </c>
      <c r="S275" s="57">
        <f t="shared" si="91"/>
        <v>9330.1939743264702</v>
      </c>
      <c r="T275" s="57">
        <f t="shared" si="92"/>
        <v>119.59730282209468</v>
      </c>
      <c r="U275" s="1"/>
      <c r="Y275" s="478">
        <v>4</v>
      </c>
      <c r="Z275" s="57">
        <v>9469.9702150868743</v>
      </c>
      <c r="AA275" s="57">
        <v>121.38899776858293</v>
      </c>
      <c r="AB275" s="1"/>
    </row>
    <row r="276" spans="1:28" ht="15.6" x14ac:dyDescent="0.3">
      <c r="A276" s="207">
        <v>3</v>
      </c>
      <c r="B276" s="57">
        <f>' Masse e forze'!I12</f>
        <v>435.57962491427855</v>
      </c>
      <c r="C276" s="57">
        <f>' Masse e forze'!J12</f>
        <v>2315.7602503332632</v>
      </c>
      <c r="D276" s="57">
        <f t="shared" si="83"/>
        <v>538.52203625445554</v>
      </c>
      <c r="E276" s="57">
        <f t="shared" si="84"/>
        <v>4.3002144655767625</v>
      </c>
      <c r="F276" s="57">
        <f>E276+F277</f>
        <v>11.889471793334248</v>
      </c>
      <c r="G276" s="57">
        <f>' Masse e forze'!G12</f>
        <v>441.05901795654478</v>
      </c>
      <c r="H276" s="57">
        <f t="shared" si="85"/>
        <v>5178.8116641694269</v>
      </c>
      <c r="I276" s="57">
        <f t="shared" si="86"/>
        <v>62.34789968146125</v>
      </c>
      <c r="J276" s="1"/>
      <c r="L276" s="207">
        <v>3</v>
      </c>
      <c r="M276" s="57">
        <f t="shared" si="87"/>
        <v>435.57962491427855</v>
      </c>
      <c r="N276" s="57">
        <f t="shared" si="87"/>
        <v>2315.7602503332632</v>
      </c>
      <c r="O276" s="57">
        <f t="shared" si="88"/>
        <v>526.96251461390204</v>
      </c>
      <c r="P276" s="57">
        <f t="shared" si="89"/>
        <v>4.3945445569880581</v>
      </c>
      <c r="Q276" s="57">
        <f>P276+Q277</f>
        <v>12.58179341714758</v>
      </c>
      <c r="R276" s="57">
        <f t="shared" si="90"/>
        <v>441.05901795654478</v>
      </c>
      <c r="S276" s="57">
        <f t="shared" si="91"/>
        <v>5480.3728573900817</v>
      </c>
      <c r="T276" s="57">
        <f t="shared" si="92"/>
        <v>69.82031541853253</v>
      </c>
      <c r="U276" s="1"/>
      <c r="Y276" s="478">
        <v>3</v>
      </c>
      <c r="Z276" s="57">
        <v>5562.4746784325143</v>
      </c>
      <c r="AA276" s="57">
        <v>70.866298089928421</v>
      </c>
      <c r="AB276" s="1"/>
    </row>
    <row r="277" spans="1:28" ht="15.6" x14ac:dyDescent="0.3">
      <c r="A277" s="207">
        <v>2</v>
      </c>
      <c r="B277" s="57">
        <f>' Masse e forze'!I13</f>
        <v>297.24151990107487</v>
      </c>
      <c r="C277" s="57">
        <f>' Masse e forze'!J13</f>
        <v>2613.001770234338</v>
      </c>
      <c r="D277" s="57">
        <f t="shared" si="83"/>
        <v>605.75040523403584</v>
      </c>
      <c r="E277" s="57">
        <f t="shared" si="84"/>
        <v>4.3136607877708091</v>
      </c>
      <c r="F277" s="57">
        <f>E277+F278</f>
        <v>7.5892573277574851</v>
      </c>
      <c r="G277" s="57">
        <f>' Masse e forze'!G13</f>
        <v>442.61865098406764</v>
      </c>
      <c r="H277" s="57">
        <f t="shared" si="85"/>
        <v>2255.8423830230049</v>
      </c>
      <c r="I277" s="57">
        <f t="shared" si="86"/>
        <v>25.493429773389845</v>
      </c>
      <c r="J277" s="1"/>
      <c r="L277" s="207">
        <v>2</v>
      </c>
      <c r="M277" s="57">
        <f t="shared" si="87"/>
        <v>297.24151990107487</v>
      </c>
      <c r="N277" s="57">
        <f t="shared" si="87"/>
        <v>2613.001770234338</v>
      </c>
      <c r="O277" s="57">
        <f t="shared" si="88"/>
        <v>592.24122490834247</v>
      </c>
      <c r="P277" s="57">
        <f t="shared" si="89"/>
        <v>4.4120565410466588</v>
      </c>
      <c r="Q277" s="57">
        <f>P277+Q278</f>
        <v>8.1872488601595208</v>
      </c>
      <c r="R277" s="57">
        <f t="shared" si="90"/>
        <v>442.61865098406764</v>
      </c>
      <c r="S277" s="57">
        <f t="shared" si="91"/>
        <v>2433.5902950021587</v>
      </c>
      <c r="T277" s="57">
        <f t="shared" si="92"/>
        <v>29.669190224267744</v>
      </c>
      <c r="U277" s="1"/>
      <c r="Y277" s="478">
        <v>2</v>
      </c>
      <c r="Z277" s="57">
        <v>2470.0480689693886</v>
      </c>
      <c r="AA277" s="57">
        <v>30.113666286326549</v>
      </c>
      <c r="AB277" s="1"/>
    </row>
    <row r="278" spans="1:28" ht="15.6" x14ac:dyDescent="0.3">
      <c r="A278" s="207">
        <v>1</v>
      </c>
      <c r="B278" s="57">
        <f>' Masse e forze'!I14</f>
        <v>142.88862271805201</v>
      </c>
      <c r="C278" s="57">
        <f>' Masse e forze'!J14</f>
        <v>2755.8903929523899</v>
      </c>
      <c r="D278" s="57">
        <f t="shared" si="83"/>
        <v>841.34000000000015</v>
      </c>
      <c r="E278" s="57">
        <f t="shared" si="84"/>
        <v>3.2755965399866755</v>
      </c>
      <c r="F278" s="57">
        <f>E278</f>
        <v>3.2755965399866755</v>
      </c>
      <c r="G278" s="57">
        <f>' Masse e forze'!G14</f>
        <v>401.90582341600805</v>
      </c>
      <c r="H278" s="57">
        <f t="shared" si="85"/>
        <v>468.04547817871264</v>
      </c>
      <c r="I278" s="57">
        <f t="shared" si="86"/>
        <v>4.3122616717577822</v>
      </c>
      <c r="J278" s="1"/>
      <c r="L278" s="207">
        <v>1</v>
      </c>
      <c r="M278" s="57">
        <f t="shared" si="87"/>
        <v>142.88862271805201</v>
      </c>
      <c r="N278" s="57">
        <f t="shared" si="87"/>
        <v>2755.8903929523899</v>
      </c>
      <c r="O278" s="57">
        <f t="shared" si="88"/>
        <v>730</v>
      </c>
      <c r="P278" s="57">
        <f t="shared" si="89"/>
        <v>3.7751923191128629</v>
      </c>
      <c r="Q278" s="57">
        <f>P278</f>
        <v>3.7751923191128629</v>
      </c>
      <c r="R278" s="57">
        <f t="shared" si="90"/>
        <v>401.90582341600805</v>
      </c>
      <c r="S278" s="57">
        <f t="shared" si="91"/>
        <v>539.43203097380569</v>
      </c>
      <c r="T278" s="57">
        <f t="shared" si="92"/>
        <v>5.7279927606770702</v>
      </c>
      <c r="U278" s="1"/>
      <c r="Y278" s="478">
        <v>1</v>
      </c>
      <c r="Z278" s="57">
        <v>547.51329719857472</v>
      </c>
      <c r="AA278" s="57">
        <v>5.8138041915426371</v>
      </c>
      <c r="AB278" s="1"/>
    </row>
    <row r="279" spans="1:28" ht="15.6" x14ac:dyDescent="0.3">
      <c r="A279" s="78" t="s">
        <v>181</v>
      </c>
      <c r="B279" s="63"/>
      <c r="C279" s="62">
        <f>SUM(C273:C278)</f>
        <v>11517.573822746645</v>
      </c>
      <c r="D279" s="217"/>
      <c r="E279" s="217"/>
      <c r="F279" s="217"/>
      <c r="G279" s="63"/>
      <c r="H279" s="57">
        <f>H273+H274+H275+H276+H277+H278</f>
        <v>45334.461226417894</v>
      </c>
      <c r="I279" s="57">
        <f>I273+I274+I275+I276+I277+I278</f>
        <v>549.18975835913398</v>
      </c>
      <c r="J279" s="1"/>
      <c r="L279" s="78" t="s">
        <v>181</v>
      </c>
      <c r="M279" s="63"/>
      <c r="N279" s="63"/>
      <c r="O279" s="217"/>
      <c r="P279" s="217"/>
      <c r="Q279" s="217"/>
      <c r="R279" s="63"/>
      <c r="S279" s="57">
        <f>S273+S274+S275+S276+S277+S278</f>
        <v>47359.848807923758</v>
      </c>
      <c r="T279" s="57">
        <f>T273+T274+T275+T276+T277+T278</f>
        <v>599.02573628663981</v>
      </c>
      <c r="U279" s="1"/>
      <c r="Y279" s="479" t="s">
        <v>181</v>
      </c>
      <c r="Z279" s="57">
        <v>48069.349773023532</v>
      </c>
      <c r="AA279" s="57">
        <v>607.99977967386997</v>
      </c>
      <c r="AB279" s="1"/>
    </row>
    <row r="280" spans="1:28" ht="15.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2" spans="1:28" ht="18" x14ac:dyDescent="0.3">
      <c r="A282" s="742" t="s">
        <v>185</v>
      </c>
      <c r="B282" s="742"/>
      <c r="C282" s="742"/>
      <c r="D282" s="742"/>
      <c r="E282" s="742"/>
      <c r="F282" s="742"/>
      <c r="G282" s="742"/>
      <c r="H282" s="742"/>
      <c r="I282" s="742"/>
      <c r="J282" s="742"/>
    </row>
    <row r="283" spans="1:28" x14ac:dyDescent="0.3">
      <c r="N283">
        <v>72.000527573890324</v>
      </c>
      <c r="O283">
        <v>36.000263786945162</v>
      </c>
    </row>
    <row r="284" spans="1:28" x14ac:dyDescent="0.3">
      <c r="A284" s="702" t="s">
        <v>186</v>
      </c>
      <c r="B284" s="741" t="s">
        <v>187</v>
      </c>
      <c r="C284" s="741" t="s">
        <v>188</v>
      </c>
      <c r="E284" s="702" t="s">
        <v>190</v>
      </c>
      <c r="F284" s="702" t="s">
        <v>189</v>
      </c>
      <c r="G284" s="702" t="s">
        <v>459</v>
      </c>
      <c r="H284" s="702" t="s">
        <v>460</v>
      </c>
      <c r="I284" s="702" t="s">
        <v>461</v>
      </c>
      <c r="J284" s="702" t="s">
        <v>462</v>
      </c>
      <c r="N284">
        <v>188.55700088295856</v>
      </c>
      <c r="O284">
        <v>130.27876422842445</v>
      </c>
      <c r="Q284">
        <v>112.3208230152689</v>
      </c>
      <c r="R284">
        <v>43.200316544334193</v>
      </c>
    </row>
    <row r="285" spans="1:28" x14ac:dyDescent="0.3">
      <c r="A285" s="702"/>
      <c r="B285" s="741"/>
      <c r="C285" s="741"/>
      <c r="E285" s="702"/>
      <c r="F285" s="702"/>
      <c r="G285" s="702"/>
      <c r="H285" s="702"/>
      <c r="I285" s="702"/>
      <c r="J285" s="702"/>
      <c r="N285">
        <v>268.20698394564829</v>
      </c>
      <c r="O285">
        <v>228.38199241430343</v>
      </c>
      <c r="Q285">
        <v>294.14892137741538</v>
      </c>
      <c r="R285">
        <v>156.33451707410933</v>
      </c>
    </row>
    <row r="286" spans="1:28" ht="15.6" x14ac:dyDescent="0.3">
      <c r="A286" s="219" t="s">
        <v>64</v>
      </c>
      <c r="B286" s="222">
        <f>B263/(MAX(H6:H43))</f>
        <v>14.321212952547647</v>
      </c>
      <c r="C286" s="222">
        <f>C263/(MAX(L6:L43))</f>
        <v>15.500450993006078</v>
      </c>
      <c r="E286" s="224">
        <f t="shared" ref="E286:E291" si="93">C273/B286</f>
        <v>44.05501766823231</v>
      </c>
      <c r="F286" s="224">
        <f t="shared" ref="F286:F291" si="94">C273/C286</f>
        <v>40.703415012871595</v>
      </c>
      <c r="G286" s="57">
        <f>0.5*'Carichi unitari'!$M$4*E286</f>
        <v>70.488028269171693</v>
      </c>
      <c r="H286" s="433">
        <f>0.5*'Carichi unitari'!$M$4*F286</f>
        <v>65.125464020594549</v>
      </c>
      <c r="I286" s="57">
        <f>G286/2</f>
        <v>35.244014134585846</v>
      </c>
      <c r="J286" s="433">
        <f>H286/2</f>
        <v>32.562732010297275</v>
      </c>
      <c r="N286">
        <v>330.34223621185106</v>
      </c>
      <c r="O286">
        <v>299.27461007874967</v>
      </c>
      <c r="Q286">
        <v>418.40289495521137</v>
      </c>
      <c r="R286">
        <v>274.05839089716409</v>
      </c>
    </row>
    <row r="287" spans="1:28" ht="15.6" x14ac:dyDescent="0.3">
      <c r="A287" s="219">
        <v>5</v>
      </c>
      <c r="B287" s="222">
        <f>B264/(MAX(H49:H86))</f>
        <v>14.134507899363591</v>
      </c>
      <c r="C287" s="222">
        <f>C264/(MAX(L49:L86))</f>
        <v>15.242528259727329</v>
      </c>
      <c r="E287" s="224">
        <f t="shared" si="93"/>
        <v>93.517192360986328</v>
      </c>
      <c r="F287" s="224">
        <f t="shared" si="94"/>
        <v>86.719176217312892</v>
      </c>
      <c r="G287" s="57">
        <f>0.5*'Carichi unitari'!$M$4*E287</f>
        <v>149.62750777757813</v>
      </c>
      <c r="H287" s="433">
        <f>0.5*'Carichi unitari'!$M$4*F287</f>
        <v>138.75068194770063</v>
      </c>
      <c r="I287" s="57">
        <f t="shared" ref="I287:J291" si="95">(G287+G286)/2</f>
        <v>110.0577680233749</v>
      </c>
      <c r="J287" s="433">
        <f t="shared" si="95"/>
        <v>101.9380729841476</v>
      </c>
      <c r="N287">
        <v>372.74361535505017</v>
      </c>
      <c r="O287">
        <v>351.54292578345064</v>
      </c>
      <c r="Q287">
        <v>515.33388849048765</v>
      </c>
      <c r="R287">
        <v>359.12953209449961</v>
      </c>
    </row>
    <row r="288" spans="1:28" ht="15.6" x14ac:dyDescent="0.3">
      <c r="A288" s="219">
        <v>4</v>
      </c>
      <c r="B288" s="222">
        <f>B265/(MAX(H92:H129))</f>
        <v>13.365427343022004</v>
      </c>
      <c r="C288" s="222">
        <f>C265/(MAX(L92:L129))</f>
        <v>14.285932626205335</v>
      </c>
      <c r="E288" s="224">
        <f t="shared" si="93"/>
        <v>140.67493520142577</v>
      </c>
      <c r="F288" s="224">
        <f t="shared" si="94"/>
        <v>131.6106322642236</v>
      </c>
      <c r="G288" s="57">
        <f>0.5*'Carichi unitari'!$M$4*E288</f>
        <v>225.07989632228123</v>
      </c>
      <c r="H288" s="433">
        <f>0.5*'Carichi unitari'!$M$4*F288</f>
        <v>210.57701162275777</v>
      </c>
      <c r="I288" s="57">
        <f t="shared" si="95"/>
        <v>187.35370204992967</v>
      </c>
      <c r="J288" s="433">
        <f t="shared" si="95"/>
        <v>174.6638467852292</v>
      </c>
      <c r="N288">
        <v>353.81395614182048</v>
      </c>
      <c r="O288">
        <v>363.27878574843533</v>
      </c>
      <c r="Q288">
        <v>581.4800399538783</v>
      </c>
      <c r="R288">
        <v>421.85151094014077</v>
      </c>
    </row>
    <row r="289" spans="1:18" ht="15.6" x14ac:dyDescent="0.3">
      <c r="A289" s="219">
        <v>3</v>
      </c>
      <c r="B289" s="222">
        <f>B266/(MAX(H135:H172))</f>
        <v>13.270036274921214</v>
      </c>
      <c r="C289" s="222">
        <f>C266/(MAX(L135:L172))</f>
        <v>13.984052218066363</v>
      </c>
      <c r="E289" s="224">
        <f t="shared" si="93"/>
        <v>174.51046872492535</v>
      </c>
      <c r="F289" s="224">
        <f t="shared" si="94"/>
        <v>165.6000860281022</v>
      </c>
      <c r="G289" s="57">
        <f>0.5*'Carichi unitari'!$M$4*E289</f>
        <v>279.21674995988059</v>
      </c>
      <c r="H289" s="433">
        <f>0.5*'Carichi unitari'!$M$4*F289</f>
        <v>264.96013764496354</v>
      </c>
      <c r="I289" s="57">
        <f t="shared" si="95"/>
        <v>252.14832314108091</v>
      </c>
      <c r="J289" s="433">
        <f t="shared" si="95"/>
        <v>237.76857463386065</v>
      </c>
      <c r="N289">
        <v>530.72093421273064</v>
      </c>
      <c r="Q289">
        <v>551.94977158124004</v>
      </c>
      <c r="R289">
        <v>435.9345428981224</v>
      </c>
    </row>
    <row r="290" spans="1:18" ht="15.6" x14ac:dyDescent="0.3">
      <c r="A290" s="219">
        <v>2</v>
      </c>
      <c r="B290" s="222">
        <f>B267/(MAX(H178:H215))</f>
        <v>12.905332649618703</v>
      </c>
      <c r="C290" s="222">
        <f>C267/(MAX(L178:L215))</f>
        <v>13.740120663645508</v>
      </c>
      <c r="E290" s="224">
        <f t="shared" si="93"/>
        <v>202.47457707427176</v>
      </c>
      <c r="F290" s="224">
        <f t="shared" si="94"/>
        <v>190.17313124097851</v>
      </c>
      <c r="G290" s="57">
        <f>0.5*'Carichi unitari'!$M$4*E290</f>
        <v>323.95932331883483</v>
      </c>
      <c r="H290" s="433">
        <f>0.5*'Carichi unitari'!$M$4*F290</f>
        <v>304.2770099855656</v>
      </c>
      <c r="I290" s="57">
        <f t="shared" si="95"/>
        <v>301.58803663935771</v>
      </c>
      <c r="J290" s="433">
        <f t="shared" si="95"/>
        <v>284.61857381526454</v>
      </c>
    </row>
    <row r="291" spans="1:18" ht="15.6" x14ac:dyDescent="0.3">
      <c r="A291" s="219">
        <v>1</v>
      </c>
      <c r="B291" s="222">
        <f>B268/(MAX(H220:H257))</f>
        <v>13.97574750830565</v>
      </c>
      <c r="C291" s="222">
        <f>C268/(MAX(L220:L257))</f>
        <v>12.621023513139695</v>
      </c>
      <c r="E291" s="224">
        <f t="shared" si="93"/>
        <v>197.19091170719787</v>
      </c>
      <c r="F291" s="224">
        <f t="shared" si="94"/>
        <v>218.357123737488</v>
      </c>
      <c r="G291" s="57">
        <f>0.4*'Carichi unitari'!$M$4*E291</f>
        <v>252.40436698521333</v>
      </c>
      <c r="H291" s="433">
        <f>0.4*'Carichi unitari'!$M$4*F291</f>
        <v>279.49711838398468</v>
      </c>
      <c r="I291" s="57">
        <f t="shared" si="95"/>
        <v>288.1818451520241</v>
      </c>
      <c r="J291" s="433">
        <f t="shared" si="95"/>
        <v>291.88706418477511</v>
      </c>
    </row>
    <row r="292" spans="1:18" ht="15.6" x14ac:dyDescent="0.3">
      <c r="A292" t="s">
        <v>216</v>
      </c>
      <c r="B292" s="223">
        <f>(B286+B287+B288+B289+B290+B291)/6</f>
        <v>13.6620441046298</v>
      </c>
      <c r="C292" s="223">
        <f>(C286+C287+C288+C289+C290+C291)/6</f>
        <v>14.229018045631719</v>
      </c>
      <c r="G292" s="61">
        <f>0.6*('Carichi unitari'!$M$5+0.6)*$E$291</f>
        <v>425.93236928754743</v>
      </c>
      <c r="H292" s="486">
        <f>0.6*('Carichi unitari'!$M$5+0.6)*F291</f>
        <v>471.65138727297409</v>
      </c>
    </row>
    <row r="294" spans="1:18" ht="15.6" customHeight="1" x14ac:dyDescent="0.3">
      <c r="B294" s="227"/>
      <c r="C294" s="127"/>
      <c r="D294" s="62"/>
      <c r="E294" s="127"/>
      <c r="F294" s="719"/>
      <c r="G294" s="127"/>
      <c r="H294" s="127"/>
    </row>
    <row r="295" spans="1:18" ht="15.6" x14ac:dyDescent="0.3">
      <c r="B295" s="127"/>
      <c r="C295" s="127"/>
      <c r="D295" s="62"/>
      <c r="E295" s="127"/>
      <c r="F295" s="719"/>
      <c r="G295" s="127" t="s">
        <v>217</v>
      </c>
      <c r="H295" s="127"/>
    </row>
    <row r="296" spans="1:18" ht="15.6" x14ac:dyDescent="0.3">
      <c r="B296" s="127"/>
      <c r="C296" s="127"/>
      <c r="D296" s="62"/>
      <c r="E296" s="127"/>
      <c r="F296" s="62"/>
      <c r="G296" s="127"/>
      <c r="H296" s="127"/>
    </row>
    <row r="297" spans="1:18" ht="15.6" x14ac:dyDescent="0.3">
      <c r="B297" s="127"/>
      <c r="C297" s="127"/>
      <c r="D297" s="62"/>
      <c r="E297" s="127"/>
      <c r="F297" s="62"/>
      <c r="G297" s="127"/>
      <c r="H297" s="127"/>
    </row>
    <row r="298" spans="1:18" ht="15.6" x14ac:dyDescent="0.3">
      <c r="B298" s="127"/>
      <c r="C298" s="127"/>
      <c r="D298" s="62"/>
      <c r="E298" s="127"/>
      <c r="F298" s="62"/>
      <c r="G298" s="127"/>
      <c r="H298" s="127"/>
    </row>
    <row r="299" spans="1:18" ht="15.6" x14ac:dyDescent="0.3">
      <c r="B299" s="127"/>
      <c r="C299" s="127"/>
      <c r="D299" s="62"/>
      <c r="E299" s="127"/>
      <c r="F299" s="62"/>
      <c r="G299" s="127"/>
      <c r="H299" s="127"/>
    </row>
    <row r="300" spans="1:18" x14ac:dyDescent="0.3">
      <c r="B300" s="127"/>
      <c r="C300" s="127"/>
      <c r="D300" s="127"/>
      <c r="E300" s="127"/>
      <c r="F300" s="127"/>
      <c r="G300" s="127"/>
      <c r="H300" s="127"/>
    </row>
    <row r="301" spans="1:18" x14ac:dyDescent="0.3">
      <c r="B301" s="127"/>
      <c r="C301" s="127"/>
      <c r="D301" s="127"/>
      <c r="E301" s="127"/>
      <c r="F301" s="127"/>
      <c r="G301" s="127"/>
      <c r="H301" s="127"/>
    </row>
  </sheetData>
  <mergeCells count="98">
    <mergeCell ref="X3:Y4"/>
    <mergeCell ref="A284:A285"/>
    <mergeCell ref="B284:B285"/>
    <mergeCell ref="C284:C285"/>
    <mergeCell ref="E284:E285"/>
    <mergeCell ref="F284:F285"/>
    <mergeCell ref="T271:T272"/>
    <mergeCell ref="S271:S272"/>
    <mergeCell ref="R271:R272"/>
    <mergeCell ref="A260:J260"/>
    <mergeCell ref="A282:J282"/>
    <mergeCell ref="D271:D272"/>
    <mergeCell ref="E271:E272"/>
    <mergeCell ref="F271:F272"/>
    <mergeCell ref="A261:A262"/>
    <mergeCell ref="A271:A272"/>
    <mergeCell ref="B271:B272"/>
    <mergeCell ref="P271:P272"/>
    <mergeCell ref="O271:O272"/>
    <mergeCell ref="M271:M272"/>
    <mergeCell ref="B33:P33"/>
    <mergeCell ref="B76:P76"/>
    <mergeCell ref="B46:H46"/>
    <mergeCell ref="M46:N46"/>
    <mergeCell ref="O46:P46"/>
    <mergeCell ref="B48:P48"/>
    <mergeCell ref="B55:P55"/>
    <mergeCell ref="B62:P62"/>
    <mergeCell ref="B69:P69"/>
    <mergeCell ref="B89:H89"/>
    <mergeCell ref="M89:N89"/>
    <mergeCell ref="O89:P89"/>
    <mergeCell ref="S3:S4"/>
    <mergeCell ref="T3:U4"/>
    <mergeCell ref="V3:W4"/>
    <mergeCell ref="B19:P19"/>
    <mergeCell ref="B26:P26"/>
    <mergeCell ref="T14:T15"/>
    <mergeCell ref="U14:U15"/>
    <mergeCell ref="M3:N3"/>
    <mergeCell ref="O3:P3"/>
    <mergeCell ref="B5:P5"/>
    <mergeCell ref="B12:P12"/>
    <mergeCell ref="B3:H3"/>
    <mergeCell ref="B91:P91"/>
    <mergeCell ref="B98:P98"/>
    <mergeCell ref="B105:P105"/>
    <mergeCell ref="B112:P112"/>
    <mergeCell ref="B119:P119"/>
    <mergeCell ref="B132:H132"/>
    <mergeCell ref="M132:N132"/>
    <mergeCell ref="O132:P132"/>
    <mergeCell ref="B134:P134"/>
    <mergeCell ref="B141:P141"/>
    <mergeCell ref="B148:P148"/>
    <mergeCell ref="B155:P155"/>
    <mergeCell ref="B162:P162"/>
    <mergeCell ref="B175:H175"/>
    <mergeCell ref="M175:N175"/>
    <mergeCell ref="O175:P175"/>
    <mergeCell ref="B177:P177"/>
    <mergeCell ref="B184:P184"/>
    <mergeCell ref="B191:P191"/>
    <mergeCell ref="B198:P198"/>
    <mergeCell ref="B205:P205"/>
    <mergeCell ref="B217:H217"/>
    <mergeCell ref="M217:N217"/>
    <mergeCell ref="O217:P217"/>
    <mergeCell ref="Q271:Q272"/>
    <mergeCell ref="C271:C272"/>
    <mergeCell ref="N271:N272"/>
    <mergeCell ref="B219:P219"/>
    <mergeCell ref="B226:P226"/>
    <mergeCell ref="B233:P233"/>
    <mergeCell ref="B240:P240"/>
    <mergeCell ref="B247:P247"/>
    <mergeCell ref="L271:L272"/>
    <mergeCell ref="J271:J272"/>
    <mergeCell ref="G271:G272"/>
    <mergeCell ref="H271:H272"/>
    <mergeCell ref="I271:I272"/>
    <mergeCell ref="G284:G285"/>
    <mergeCell ref="H284:H285"/>
    <mergeCell ref="I284:I285"/>
    <mergeCell ref="J284:J285"/>
    <mergeCell ref="F294:F295"/>
    <mergeCell ref="B261:B262"/>
    <mergeCell ref="C261:C262"/>
    <mergeCell ref="A270:G270"/>
    <mergeCell ref="L270:R270"/>
    <mergeCell ref="H270:J270"/>
    <mergeCell ref="S270:U270"/>
    <mergeCell ref="Z271:Z272"/>
    <mergeCell ref="AA271:AA272"/>
    <mergeCell ref="AB271:AB272"/>
    <mergeCell ref="Y271:Y272"/>
    <mergeCell ref="Y270:AB270"/>
    <mergeCell ref="U271:U272"/>
  </mergeCells>
  <pageMargins left="0.7" right="0.7" top="0.75" bottom="0.75" header="0.3" footer="0.3"/>
  <pageSetup paperSize="9" orientation="portrait" horizontalDpi="360" verticalDpi="360" r:id="rId1"/>
  <ignoredErrors>
    <ignoredError sqref="B30:C30 B36:C36 B41:C41 C16" formula="1"/>
  </ignoredError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25"/>
  <sheetViews>
    <sheetView tabSelected="1" topLeftCell="S12" zoomScale="70" zoomScaleNormal="70" workbookViewId="0">
      <selection activeCell="AK29" sqref="AK29"/>
    </sheetView>
  </sheetViews>
  <sheetFormatPr defaultRowHeight="14.4" x14ac:dyDescent="0.3"/>
  <cols>
    <col min="2" max="2" width="5.6640625" customWidth="1"/>
    <col min="4" max="4" width="6.109375" customWidth="1"/>
    <col min="6" max="6" width="4.33203125" customWidth="1"/>
    <col min="8" max="8" width="4.5546875" customWidth="1"/>
    <col min="10" max="10" width="5.5546875" customWidth="1"/>
    <col min="12" max="12" width="4" customWidth="1"/>
    <col min="14" max="14" width="6.109375" customWidth="1"/>
    <col min="15" max="15" width="9.88671875" customWidth="1"/>
    <col min="16" max="16" width="7.88671875" customWidth="1"/>
    <col min="17" max="17" width="10" customWidth="1"/>
    <col min="18" max="18" width="7.44140625" customWidth="1"/>
    <col min="20" max="20" width="7.77734375" customWidth="1"/>
    <col min="22" max="22" width="4.5546875" customWidth="1"/>
    <col min="24" max="24" width="5" customWidth="1"/>
    <col min="26" max="26" width="4.5546875" customWidth="1"/>
    <col min="28" max="28" width="4.6640625" customWidth="1"/>
    <col min="30" max="30" width="4.44140625" customWidth="1"/>
    <col min="32" max="32" width="6.77734375" customWidth="1"/>
    <col min="33" max="33" width="11.21875" customWidth="1"/>
    <col min="34" max="34" width="9.5546875" bestFit="1" customWidth="1"/>
    <col min="35" max="35" width="10.21875" customWidth="1"/>
    <col min="37" max="37" width="11.44140625" customWidth="1"/>
    <col min="42" max="42" width="10.77734375" customWidth="1"/>
    <col min="45" max="45" width="9" customWidth="1"/>
  </cols>
  <sheetData>
    <row r="1" spans="1:45" ht="18" x14ac:dyDescent="0.35">
      <c r="A1" s="744" t="s">
        <v>194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S1" s="744" t="s">
        <v>195</v>
      </c>
      <c r="T1" s="744"/>
      <c r="U1" s="744"/>
      <c r="V1" s="744"/>
      <c r="W1" s="744"/>
      <c r="X1" s="744"/>
      <c r="Y1" s="744"/>
      <c r="Z1" s="744"/>
      <c r="AA1" s="744"/>
      <c r="AB1" s="744"/>
      <c r="AC1" s="744"/>
      <c r="AD1" s="744"/>
      <c r="AE1" s="744"/>
      <c r="AF1" s="744"/>
      <c r="AG1" s="744"/>
      <c r="AH1" s="744"/>
      <c r="AI1" s="744"/>
    </row>
    <row r="2" spans="1:45" x14ac:dyDescent="0.3">
      <c r="AG2" s="127"/>
      <c r="AH2" s="127"/>
      <c r="AI2" s="127"/>
      <c r="AJ2" s="127"/>
      <c r="AK2" s="702" t="s">
        <v>81</v>
      </c>
      <c r="AL2" s="701" t="s">
        <v>215</v>
      </c>
      <c r="AM2" s="701" t="s">
        <v>178</v>
      </c>
      <c r="AN2" s="716" t="s">
        <v>229</v>
      </c>
      <c r="AO2" s="716" t="s">
        <v>230</v>
      </c>
      <c r="AP2" s="716" t="s">
        <v>231</v>
      </c>
      <c r="AQ2" s="716" t="s">
        <v>232</v>
      </c>
      <c r="AR2" s="743" t="s">
        <v>233</v>
      </c>
      <c r="AS2" s="743" t="s">
        <v>234</v>
      </c>
    </row>
    <row r="3" spans="1:45" ht="16.2" x14ac:dyDescent="0.3">
      <c r="B3" s="231" t="s">
        <v>200</v>
      </c>
      <c r="C3">
        <v>0.15</v>
      </c>
      <c r="E3">
        <f>C3+5.2</f>
        <v>5.3500000000000005</v>
      </c>
      <c r="G3">
        <f>E3+3.9</f>
        <v>9.25</v>
      </c>
      <c r="I3">
        <f>G3+4.7</f>
        <v>13.95</v>
      </c>
      <c r="K3">
        <f>I3+5.2</f>
        <v>19.149999999999999</v>
      </c>
      <c r="M3" s="21">
        <f>K3+3.9</f>
        <v>23.049999999999997</v>
      </c>
      <c r="O3" s="231" t="s">
        <v>181</v>
      </c>
      <c r="P3" s="231" t="s">
        <v>191</v>
      </c>
      <c r="Q3" s="231" t="s">
        <v>192</v>
      </c>
      <c r="T3" s="231" t="s">
        <v>200</v>
      </c>
      <c r="U3">
        <v>0.15</v>
      </c>
      <c r="W3">
        <f>U3+5.2</f>
        <v>5.3500000000000005</v>
      </c>
      <c r="Y3">
        <f>W3+3.9</f>
        <v>9.25</v>
      </c>
      <c r="AA3">
        <f>Y3+4.7</f>
        <v>13.95</v>
      </c>
      <c r="AC3">
        <f>AA3+5.2</f>
        <v>19.149999999999999</v>
      </c>
      <c r="AE3" s="21">
        <f>AC3+3.9</f>
        <v>23.049999999999997</v>
      </c>
      <c r="AG3" s="127"/>
      <c r="AH3" s="127"/>
      <c r="AI3" s="127"/>
      <c r="AJ3" s="127"/>
      <c r="AK3" s="702"/>
      <c r="AL3" s="701"/>
      <c r="AM3" s="701"/>
      <c r="AN3" s="716"/>
      <c r="AO3" s="716"/>
      <c r="AP3" s="716"/>
      <c r="AQ3" s="716"/>
      <c r="AR3" s="716"/>
      <c r="AS3" s="743"/>
    </row>
    <row r="4" spans="1:45" ht="15.6" x14ac:dyDescent="0.3">
      <c r="AG4" s="127"/>
      <c r="AH4" s="127"/>
      <c r="AI4" s="127"/>
      <c r="AJ4" s="127"/>
      <c r="AK4" s="277" t="s">
        <v>64</v>
      </c>
      <c r="AL4" s="218">
        <f>'Ap. tipologi di pila '!B263</f>
        <v>256.057370302923</v>
      </c>
      <c r="AM4" s="218">
        <f>'Ap. tipologi di pila '!C263</f>
        <v>253.56132897548517</v>
      </c>
      <c r="AN4" s="265">
        <f>Rigidezze!AH117</f>
        <v>11.616831793338068</v>
      </c>
      <c r="AO4" s="265">
        <f>Rigidezze!P123</f>
        <v>10.723042066134383</v>
      </c>
      <c r="AP4" s="265">
        <v>11.6</v>
      </c>
      <c r="AQ4" s="265">
        <v>10.5</v>
      </c>
      <c r="AR4" s="265">
        <f t="shared" ref="AR4:AS9" si="0">ABS(AN4-AP4)</f>
        <v>1.6831793338068834E-2</v>
      </c>
      <c r="AS4" s="265">
        <f t="shared" si="0"/>
        <v>0.22304206613438282</v>
      </c>
    </row>
    <row r="5" spans="1:45" ht="16.2" thickBot="1" x14ac:dyDescent="0.35">
      <c r="A5" s="4" t="s">
        <v>199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S5" s="231" t="s">
        <v>199</v>
      </c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G5" s="127"/>
      <c r="AH5" s="127"/>
      <c r="AI5" s="127"/>
      <c r="AJ5" s="127"/>
      <c r="AK5" s="277">
        <v>5</v>
      </c>
      <c r="AL5" s="218">
        <f>'Ap. tipologi di pila '!B264</f>
        <v>297.38193270505752</v>
      </c>
      <c r="AM5" s="218">
        <f>'Ap. tipologi di pila '!C264</f>
        <v>295.19505484639649</v>
      </c>
      <c r="AN5" s="265">
        <f>Rigidezze!AH96</f>
        <v>11.611545289294712</v>
      </c>
      <c r="AO5" s="265">
        <f>Rigidezze!P102</f>
        <v>10.729221120796494</v>
      </c>
      <c r="AP5" s="265">
        <v>11.4</v>
      </c>
      <c r="AQ5" s="265">
        <v>10.54</v>
      </c>
      <c r="AR5" s="265">
        <f t="shared" si="0"/>
        <v>0.21154528929471184</v>
      </c>
      <c r="AS5" s="265">
        <f t="shared" si="0"/>
        <v>0.18922112079649445</v>
      </c>
    </row>
    <row r="6" spans="1:45" ht="16.2" thickBot="1" x14ac:dyDescent="0.35">
      <c r="A6" s="223">
        <f>A8+5.15</f>
        <v>20.799999999999997</v>
      </c>
      <c r="B6" s="21"/>
      <c r="C6" s="231"/>
      <c r="D6" s="231"/>
      <c r="E6" s="231"/>
      <c r="F6" s="231"/>
      <c r="G6" s="231"/>
      <c r="H6" s="231"/>
      <c r="I6" s="234">
        <f>'Ap. tipologi di pila '!H234</f>
        <v>47.88</v>
      </c>
      <c r="J6" s="231"/>
      <c r="K6" s="234">
        <f>'Ap. tipologi di pila '!H220</f>
        <v>60.2</v>
      </c>
      <c r="L6" s="231"/>
      <c r="M6" s="234">
        <f>'Ap. tipologi di pila '!H234</f>
        <v>47.88</v>
      </c>
      <c r="O6" s="223">
        <f>I6+K6+M6</f>
        <v>155.96</v>
      </c>
      <c r="P6" s="231">
        <f>O6*A6</f>
        <v>3243.9679999999998</v>
      </c>
      <c r="Q6" s="223">
        <f>P6*A6</f>
        <v>67474.53439999999</v>
      </c>
      <c r="S6" s="21">
        <f>S8+5.15</f>
        <v>20.799999999999997</v>
      </c>
      <c r="T6" s="21"/>
      <c r="U6" s="231"/>
      <c r="V6" s="231"/>
      <c r="W6" s="231"/>
      <c r="X6" s="231"/>
      <c r="Y6" s="231"/>
      <c r="Z6" s="231"/>
      <c r="AA6" s="234">
        <f>'Ap. tipologi di pila '!L237</f>
        <v>11.43</v>
      </c>
      <c r="AB6" s="231"/>
      <c r="AC6" s="234">
        <f>'Ap. tipologi di pila '!L237</f>
        <v>11.43</v>
      </c>
      <c r="AD6" s="231"/>
      <c r="AE6" s="234">
        <f>'Ap. tipologi di pila '!L237</f>
        <v>11.43</v>
      </c>
      <c r="AG6" s="227"/>
      <c r="AH6" s="127"/>
      <c r="AI6" s="227"/>
      <c r="AJ6" s="127"/>
      <c r="AK6" s="277">
        <v>4</v>
      </c>
      <c r="AL6" s="218">
        <f>'Ap. tipologi di pila '!B265</f>
        <v>462.25101239401732</v>
      </c>
      <c r="AM6" s="218">
        <f>'Ap. tipologi di pila '!C265</f>
        <v>455.45137656230611</v>
      </c>
      <c r="AN6" s="265">
        <f>Rigidezze!AH75</f>
        <v>11.578362711868751</v>
      </c>
      <c r="AO6" s="265">
        <f>Rigidezze!P81</f>
        <v>10.726694989473545</v>
      </c>
      <c r="AP6" s="265">
        <v>11.4</v>
      </c>
      <c r="AQ6" s="265">
        <v>10.54</v>
      </c>
      <c r="AR6" s="265">
        <f t="shared" si="0"/>
        <v>0.17836271186875052</v>
      </c>
      <c r="AS6" s="265">
        <f t="shared" si="0"/>
        <v>0.1866949894735459</v>
      </c>
    </row>
    <row r="7" spans="1:45" ht="16.2" thickBot="1" x14ac:dyDescent="0.35">
      <c r="A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O7" s="231"/>
      <c r="P7" s="231"/>
      <c r="Q7" s="223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G7" s="127"/>
      <c r="AH7" s="127"/>
      <c r="AI7" s="227"/>
      <c r="AJ7" s="127"/>
      <c r="AK7" s="277">
        <v>3</v>
      </c>
      <c r="AL7" s="218">
        <f>'Ap. tipologi di pila '!B266</f>
        <v>538.52203625445554</v>
      </c>
      <c r="AM7" s="218">
        <f>'Ap. tipologi di pila '!C266</f>
        <v>526.96251461390204</v>
      </c>
      <c r="AN7" s="265">
        <f>Rigidezze!AH54</f>
        <v>11.577598705008375</v>
      </c>
      <c r="AO7" s="265">
        <f>Rigidezze!P60</f>
        <v>10.720292763258604</v>
      </c>
      <c r="AP7" s="265">
        <v>11.4</v>
      </c>
      <c r="AQ7" s="265">
        <v>10.54</v>
      </c>
      <c r="AR7" s="265">
        <f t="shared" si="0"/>
        <v>0.17759870500837494</v>
      </c>
      <c r="AS7" s="265">
        <f t="shared" si="0"/>
        <v>0.18029276325860444</v>
      </c>
    </row>
    <row r="8" spans="1:45" ht="16.2" thickBot="1" x14ac:dyDescent="0.35">
      <c r="A8" s="231">
        <f>A10+4.7</f>
        <v>15.649999999999999</v>
      </c>
      <c r="C8" s="234">
        <f>'Ap. tipologi di pila '!H234</f>
        <v>47.88</v>
      </c>
      <c r="D8" s="231"/>
      <c r="E8" s="234">
        <f>'Ap. tipologi di pila '!H220</f>
        <v>60.2</v>
      </c>
      <c r="F8" s="231"/>
      <c r="G8" s="234">
        <f>'Ap. tipologi di pila '!H220</f>
        <v>60.2</v>
      </c>
      <c r="H8" s="231"/>
      <c r="I8" s="234">
        <f>'Ap. tipologi di pila '!H253</f>
        <v>11.86</v>
      </c>
      <c r="J8" s="231"/>
      <c r="K8" s="234">
        <f>'Ap. tipologi di pila '!H253</f>
        <v>11.86</v>
      </c>
      <c r="L8" s="231"/>
      <c r="M8" s="234">
        <f>'Ap. tipologi di pila '!H237</f>
        <v>11.7</v>
      </c>
      <c r="O8" s="223">
        <f>C8+E8+G8+I8+K8+M8</f>
        <v>203.70000000000005</v>
      </c>
      <c r="P8" s="231">
        <f>O8*A8</f>
        <v>3187.9050000000002</v>
      </c>
      <c r="Q8" s="223">
        <f>P8*A8</f>
        <v>49890.713250000001</v>
      </c>
      <c r="S8">
        <f>S10+4.7</f>
        <v>15.649999999999999</v>
      </c>
      <c r="U8" s="234">
        <f>'Ap. tipologi di pila '!L237</f>
        <v>11.43</v>
      </c>
      <c r="V8" s="231"/>
      <c r="W8" s="234">
        <f>'Ap. tipologi di pila '!L237</f>
        <v>11.43</v>
      </c>
      <c r="X8" s="231"/>
      <c r="Y8" s="234">
        <f>'Ap. tipologi di pila '!L237</f>
        <v>11.43</v>
      </c>
      <c r="Z8" s="231"/>
      <c r="AA8" s="234">
        <f>'Ap. tipologi di pila '!L220</f>
        <v>57.84</v>
      </c>
      <c r="AB8" s="231"/>
      <c r="AC8" s="234">
        <f>'Ap. tipologi di pila '!L248</f>
        <v>47.93</v>
      </c>
      <c r="AD8" s="231"/>
      <c r="AE8" s="234">
        <f>'Ap. tipologi di pila '!L220</f>
        <v>57.84</v>
      </c>
      <c r="AG8" s="227"/>
      <c r="AH8" s="127"/>
      <c r="AI8" s="227"/>
      <c r="AJ8" s="127"/>
      <c r="AK8" s="277">
        <v>2</v>
      </c>
      <c r="AL8" s="218">
        <f>'Ap. tipologi di pila '!B267</f>
        <v>605.75040523403584</v>
      </c>
      <c r="AM8" s="218">
        <f>'Ap. tipologi di pila '!C267</f>
        <v>592.24122490834247</v>
      </c>
      <c r="AN8" s="265">
        <f>Rigidezze!AH33</f>
        <v>11.554912318264968</v>
      </c>
      <c r="AO8" s="265">
        <f>Rigidezze!P39</f>
        <v>10.71993997886171</v>
      </c>
      <c r="AP8" s="265">
        <v>11.6</v>
      </c>
      <c r="AQ8" s="265">
        <v>10.5</v>
      </c>
      <c r="AR8" s="265">
        <f t="shared" si="0"/>
        <v>4.5087681735031637E-2</v>
      </c>
      <c r="AS8" s="265">
        <f t="shared" si="0"/>
        <v>0.21993997886171002</v>
      </c>
    </row>
    <row r="9" spans="1:45" ht="16.2" thickBot="1" x14ac:dyDescent="0.35">
      <c r="A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O9" s="231"/>
      <c r="P9" s="231"/>
      <c r="Q9" s="223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G9" s="127"/>
      <c r="AH9" s="127"/>
      <c r="AI9" s="227"/>
      <c r="AJ9" s="127"/>
      <c r="AK9" s="277">
        <v>1</v>
      </c>
      <c r="AL9" s="218">
        <f>'Ap. tipologi di pila '!B268</f>
        <v>841.34000000000015</v>
      </c>
      <c r="AM9" s="218">
        <f>'Ap. tipologi di pila '!C268</f>
        <v>730</v>
      </c>
      <c r="AN9" s="265">
        <f>Rigidezze!AH12</f>
        <v>11.652219178082193</v>
      </c>
      <c r="AO9" s="265">
        <f>Rigidezze!P18</f>
        <v>10.471463379846433</v>
      </c>
      <c r="AP9" s="265">
        <v>11.6</v>
      </c>
      <c r="AQ9" s="265">
        <v>10.5</v>
      </c>
      <c r="AR9" s="265">
        <f t="shared" si="0"/>
        <v>5.2219178082193451E-2</v>
      </c>
      <c r="AS9" s="265">
        <f t="shared" si="0"/>
        <v>2.8536620153566616E-2</v>
      </c>
    </row>
    <row r="10" spans="1:45" ht="15" thickBot="1" x14ac:dyDescent="0.35">
      <c r="A10" s="231">
        <f>A12+5.6</f>
        <v>10.95</v>
      </c>
      <c r="C10" s="234">
        <f>'Ap. tipologi di pila '!H244</f>
        <v>5.66</v>
      </c>
      <c r="D10" s="231"/>
      <c r="E10" s="234">
        <f>'Ap. tipologi di pila '!H230</f>
        <v>7</v>
      </c>
      <c r="F10" s="231"/>
      <c r="G10" s="234">
        <f>'Ap. tipologi di pila '!H253</f>
        <v>11.86</v>
      </c>
      <c r="H10" s="231"/>
      <c r="I10" s="234">
        <f>'Ap. tipologi di pila '!H223</f>
        <v>12.9</v>
      </c>
      <c r="J10" s="231"/>
      <c r="K10" s="234">
        <f>'Ap. tipologi di pila '!H220</f>
        <v>60.2</v>
      </c>
      <c r="L10" s="231"/>
      <c r="M10" s="234">
        <f>'Ap. tipologi di pila '!H237</f>
        <v>11.7</v>
      </c>
      <c r="O10" s="223">
        <f>C10+E10+G10+I10+K10+M10</f>
        <v>109.32000000000001</v>
      </c>
      <c r="P10" s="231">
        <f>O10*A10</f>
        <v>1197.0540000000001</v>
      </c>
      <c r="Q10" s="223">
        <f>P10*A10</f>
        <v>13107.7413</v>
      </c>
      <c r="S10">
        <f>S12+5.6</f>
        <v>10.95</v>
      </c>
      <c r="U10" s="234">
        <f>'Ap. tipologi di pila '!L220</f>
        <v>57.84</v>
      </c>
      <c r="V10" s="231"/>
      <c r="W10" s="234">
        <f>'Ap. tipologi di pila '!L220</f>
        <v>57.84</v>
      </c>
      <c r="X10" s="231"/>
      <c r="Y10" s="234">
        <f>'Ap. tipologi di pila '!L220</f>
        <v>57.84</v>
      </c>
      <c r="Z10" s="231"/>
      <c r="AA10" s="234">
        <f>'Ap. tipologi di pila '!L220</f>
        <v>57.84</v>
      </c>
      <c r="AB10" s="231"/>
      <c r="AC10" s="234">
        <f>'Ap. tipologi di pila '!L253</f>
        <v>11.61</v>
      </c>
      <c r="AD10" s="231"/>
      <c r="AE10" s="234">
        <f>'Ap. tipologi di pila '!L220</f>
        <v>57.84</v>
      </c>
      <c r="AG10" s="227"/>
      <c r="AH10" s="127"/>
      <c r="AI10" s="227"/>
      <c r="AJ10" s="127"/>
    </row>
    <row r="11" spans="1:45" ht="15" thickBot="1" x14ac:dyDescent="0.35">
      <c r="A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O11" s="231"/>
      <c r="P11" s="231"/>
      <c r="Q11" s="223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G11" s="127"/>
      <c r="AI11" s="227"/>
      <c r="AJ11" s="127"/>
    </row>
    <row r="12" spans="1:45" ht="18.600000000000001" thickBot="1" x14ac:dyDescent="0.4">
      <c r="A12" s="231">
        <f>A14+5.2</f>
        <v>5.3500000000000005</v>
      </c>
      <c r="C12" s="234">
        <f>'Ap. tipologi di pila '!H244</f>
        <v>5.66</v>
      </c>
      <c r="D12" s="231"/>
      <c r="E12" s="234">
        <f>'Ap. tipologi di pila '!H227</f>
        <v>30.6</v>
      </c>
      <c r="F12" s="231"/>
      <c r="G12" s="234">
        <f>'Ap. tipologi di pila '!H253</f>
        <v>11.86</v>
      </c>
      <c r="H12" s="231"/>
      <c r="I12" s="234">
        <f>'Ap. tipologi di pila '!H220</f>
        <v>60.2</v>
      </c>
      <c r="J12" s="231"/>
      <c r="K12" s="234">
        <f>'Ap. tipologi di pila '!H220</f>
        <v>60.2</v>
      </c>
      <c r="L12" s="231"/>
      <c r="M12" s="234">
        <f>'Ap. tipologi di pila '!H234</f>
        <v>47.88</v>
      </c>
      <c r="O12" s="223">
        <f>C12+E12+G12+I12+K12+M12</f>
        <v>216.4</v>
      </c>
      <c r="P12" s="231">
        <f>O12*A12</f>
        <v>1157.7400000000002</v>
      </c>
      <c r="Q12" s="223">
        <f>P12*A12</f>
        <v>6193.9090000000015</v>
      </c>
      <c r="S12">
        <f>S14+5.2</f>
        <v>5.3500000000000005</v>
      </c>
      <c r="U12" s="234">
        <f>'Ap. tipologi di pila '!L220</f>
        <v>57.84</v>
      </c>
      <c r="V12" s="231"/>
      <c r="W12" s="234">
        <f>'Ap. tipologi di pila '!L223</f>
        <v>12.74</v>
      </c>
      <c r="X12" s="231"/>
      <c r="Y12" s="234">
        <f>'Ap. tipologi di pila '!L220</f>
        <v>57.84</v>
      </c>
      <c r="Z12" s="231"/>
      <c r="AA12" s="234">
        <f>'Ap. tipologi di pila '!L237</f>
        <v>11.43</v>
      </c>
      <c r="AB12" s="231"/>
      <c r="AC12" s="234">
        <f>'Ap. tipologi di pila '!L237</f>
        <v>11.43</v>
      </c>
      <c r="AD12" s="231"/>
      <c r="AE12" s="234">
        <f>'Ap. tipologi di pila '!L237</f>
        <v>11.43</v>
      </c>
      <c r="AG12" s="225" t="s">
        <v>198</v>
      </c>
      <c r="AH12" s="226">
        <f>AG18/AG16</f>
        <v>11.652219178082193</v>
      </c>
      <c r="AI12" s="227"/>
      <c r="AJ12" s="127"/>
      <c r="AL12" s="755" t="s">
        <v>408</v>
      </c>
      <c r="AM12" s="756"/>
      <c r="AN12" s="756"/>
      <c r="AO12" s="756"/>
      <c r="AP12" s="756"/>
      <c r="AQ12" s="756"/>
      <c r="AR12" s="97" t="s">
        <v>409</v>
      </c>
      <c r="AS12" s="97">
        <v>24</v>
      </c>
    </row>
    <row r="13" spans="1:45" ht="21.6" thickBot="1" x14ac:dyDescent="0.45">
      <c r="A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O13" s="231"/>
      <c r="P13" s="231"/>
      <c r="Q13" s="223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G13" s="235" t="s">
        <v>206</v>
      </c>
      <c r="AH13" s="236">
        <f>11.6</f>
        <v>11.6</v>
      </c>
      <c r="AI13" s="227"/>
      <c r="AJ13" s="127"/>
      <c r="AL13" s="752" t="s">
        <v>407</v>
      </c>
      <c r="AM13" s="753"/>
      <c r="AN13" s="754"/>
      <c r="AO13" s="752" t="s">
        <v>458</v>
      </c>
      <c r="AP13" s="753"/>
      <c r="AQ13" s="753"/>
      <c r="AR13" s="97" t="s">
        <v>410</v>
      </c>
      <c r="AS13" s="97">
        <v>26.2</v>
      </c>
    </row>
    <row r="14" spans="1:45" ht="16.2" thickBot="1" x14ac:dyDescent="0.35">
      <c r="A14" s="231">
        <f>0.15</f>
        <v>0.15</v>
      </c>
      <c r="C14" s="234">
        <f>'Ap. tipologi di pila '!H234</f>
        <v>47.88</v>
      </c>
      <c r="D14" s="231"/>
      <c r="E14" s="234">
        <f>'Ap. tipologi di pila '!H220</f>
        <v>60.2</v>
      </c>
      <c r="F14" s="231"/>
      <c r="G14" s="234">
        <f>'Ap. tipologi di pila '!H234</f>
        <v>47.88</v>
      </c>
      <c r="H14" s="231"/>
      <c r="I14" s="231"/>
      <c r="J14" s="231"/>
      <c r="K14" s="231"/>
      <c r="L14" s="231"/>
      <c r="M14" s="231"/>
      <c r="O14" s="223">
        <f>C14+E14+G14</f>
        <v>155.96</v>
      </c>
      <c r="P14" s="231">
        <f>O14*A14</f>
        <v>23.394000000000002</v>
      </c>
      <c r="Q14" s="223">
        <f>P14*A14</f>
        <v>3.5091000000000001</v>
      </c>
      <c r="S14">
        <f>0.15</f>
        <v>0.15</v>
      </c>
      <c r="U14" s="234">
        <f>'Ap. tipologi di pila '!$L$237</f>
        <v>11.43</v>
      </c>
      <c r="V14" s="231"/>
      <c r="W14" s="234">
        <f>'Ap. tipologi di pila '!$L$237</f>
        <v>11.43</v>
      </c>
      <c r="X14" s="231"/>
      <c r="Y14" s="234">
        <f>'Ap. tipologi di pila '!$L$237</f>
        <v>11.43</v>
      </c>
      <c r="Z14" s="231"/>
      <c r="AA14" s="231"/>
      <c r="AB14" s="231"/>
      <c r="AC14" s="231"/>
      <c r="AD14" s="231"/>
      <c r="AE14" s="231"/>
      <c r="AG14" s="235" t="s">
        <v>205</v>
      </c>
      <c r="AH14" s="238">
        <f>ABS(AH12-AH13)</f>
        <v>5.2219178082193451E-2</v>
      </c>
      <c r="AI14" s="227"/>
      <c r="AJ14" s="127"/>
      <c r="AK14" s="745" t="s">
        <v>81</v>
      </c>
      <c r="AL14" s="746" t="s">
        <v>404</v>
      </c>
      <c r="AM14" s="748" t="s">
        <v>406</v>
      </c>
      <c r="AN14" s="750" t="s">
        <v>405</v>
      </c>
      <c r="AO14" s="746" t="s">
        <v>404</v>
      </c>
      <c r="AP14" s="748" t="s">
        <v>406</v>
      </c>
      <c r="AQ14" s="750" t="s">
        <v>405</v>
      </c>
    </row>
    <row r="15" spans="1:45" x14ac:dyDescent="0.3"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O15" s="231"/>
      <c r="P15" s="231"/>
      <c r="Q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G15" s="127"/>
      <c r="AH15" s="127"/>
      <c r="AI15" s="127"/>
      <c r="AJ15" s="127"/>
      <c r="AK15" s="745"/>
      <c r="AL15" s="747"/>
      <c r="AM15" s="749"/>
      <c r="AN15" s="751"/>
      <c r="AO15" s="747"/>
      <c r="AP15" s="749"/>
      <c r="AQ15" s="751"/>
    </row>
    <row r="16" spans="1:45" ht="15.6" x14ac:dyDescent="0.3">
      <c r="O16" s="232">
        <f>O6+O8+O10+O12+O14</f>
        <v>841.34000000000015</v>
      </c>
      <c r="P16" s="233">
        <f>P6+P8+P10+P12+P14</f>
        <v>8810.0609999999997</v>
      </c>
      <c r="Q16" s="233">
        <f>Q6+Q8+Q10+Q12+Q14</f>
        <v>136670.40704999998</v>
      </c>
      <c r="T16" t="s">
        <v>181</v>
      </c>
      <c r="U16" s="223">
        <f>U8+U10+U12+U14</f>
        <v>138.54000000000002</v>
      </c>
      <c r="V16" s="231"/>
      <c r="W16" s="223">
        <f>W8+W10+W12+W14</f>
        <v>93.44</v>
      </c>
      <c r="X16" s="231"/>
      <c r="Y16" s="223">
        <f>Y8+Y10+Y12+Y14</f>
        <v>138.54000000000002</v>
      </c>
      <c r="Z16" s="231"/>
      <c r="AA16" s="223">
        <f>AA6+AA8+AA10+AA12</f>
        <v>138.54000000000002</v>
      </c>
      <c r="AB16" s="231"/>
      <c r="AC16" s="223">
        <f>AC6+AC8+AC10+AC12</f>
        <v>82.4</v>
      </c>
      <c r="AD16" s="231"/>
      <c r="AE16" s="223">
        <f>AE6+AE8+AE10+AE12</f>
        <v>138.54000000000002</v>
      </c>
      <c r="AG16" s="228">
        <f>U16+W16+Y16+AA16+AC16+AE16</f>
        <v>730</v>
      </c>
      <c r="AH16" s="127"/>
      <c r="AI16" s="127"/>
      <c r="AJ16" s="127"/>
      <c r="AK16" s="437" t="s">
        <v>64</v>
      </c>
      <c r="AL16" s="299">
        <f>' Masse e forze'!I9</f>
        <v>630.92128965500399</v>
      </c>
      <c r="AM16" s="9">
        <f>0.05*AS12</f>
        <v>1.2000000000000002</v>
      </c>
      <c r="AN16" s="281">
        <f t="shared" ref="AN16:AN21" si="1">AL16*AM16</f>
        <v>757.10554758600495</v>
      </c>
      <c r="AO16" s="299">
        <f t="shared" ref="AO16:AO21" si="2">AL16</f>
        <v>630.92128965500399</v>
      </c>
      <c r="AP16" s="9">
        <f>0.05*AS13</f>
        <v>1.31</v>
      </c>
      <c r="AQ16" s="281">
        <f t="shared" ref="AQ16:AQ21" si="3">AO16*AP16</f>
        <v>826.50688944805529</v>
      </c>
    </row>
    <row r="17" spans="1:48" ht="16.2" thickBot="1" x14ac:dyDescent="0.35"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G17" s="230"/>
      <c r="AH17" s="127"/>
      <c r="AI17" s="127"/>
      <c r="AJ17" s="127"/>
      <c r="AK17" s="437">
        <v>5</v>
      </c>
      <c r="AL17" s="299">
        <f>' Masse e forze'!I10</f>
        <v>690.89820449766194</v>
      </c>
      <c r="AM17" s="9">
        <f>$AM$16</f>
        <v>1.2000000000000002</v>
      </c>
      <c r="AN17" s="281">
        <f t="shared" si="1"/>
        <v>829.07784539719444</v>
      </c>
      <c r="AO17" s="299">
        <f t="shared" si="2"/>
        <v>690.89820449766194</v>
      </c>
      <c r="AP17" s="9">
        <f>$AP$16</f>
        <v>1.31</v>
      </c>
      <c r="AQ17" s="281">
        <f t="shared" si="3"/>
        <v>905.07664789193723</v>
      </c>
    </row>
    <row r="18" spans="1:48" ht="18.600000000000001" thickBot="1" x14ac:dyDescent="0.45">
      <c r="O18" s="235" t="s">
        <v>203</v>
      </c>
      <c r="P18" s="236">
        <f>P16/O16</f>
        <v>10.471463379846433</v>
      </c>
      <c r="T18" t="s">
        <v>196</v>
      </c>
      <c r="U18" s="223">
        <f>U16*U3</f>
        <v>20.781000000000002</v>
      </c>
      <c r="V18" s="231"/>
      <c r="W18" s="231">
        <f t="shared" ref="W18:AE18" si="4">W16*W3</f>
        <v>499.90400000000005</v>
      </c>
      <c r="X18" s="231"/>
      <c r="Y18" s="231">
        <f t="shared" si="4"/>
        <v>1281.4950000000001</v>
      </c>
      <c r="Z18" s="231"/>
      <c r="AA18" s="231">
        <f t="shared" si="4"/>
        <v>1932.6330000000003</v>
      </c>
      <c r="AB18" s="231"/>
      <c r="AC18" s="231">
        <f t="shared" si="4"/>
        <v>1577.96</v>
      </c>
      <c r="AD18" s="231"/>
      <c r="AE18" s="231">
        <f t="shared" si="4"/>
        <v>3193.3470000000002</v>
      </c>
      <c r="AG18" s="228">
        <f>U18+W18+Y18+AA18+AC18+AE18</f>
        <v>8506.1200000000008</v>
      </c>
      <c r="AH18" s="228"/>
      <c r="AI18" s="127"/>
      <c r="AJ18" s="127"/>
      <c r="AK18" s="437">
        <v>4</v>
      </c>
      <c r="AL18" s="299">
        <f>' Masse e forze'!I11</f>
        <v>558.36113126631869</v>
      </c>
      <c r="AM18" s="9">
        <f>$AM$16</f>
        <v>1.2000000000000002</v>
      </c>
      <c r="AN18" s="281">
        <f t="shared" si="1"/>
        <v>670.03335751958252</v>
      </c>
      <c r="AO18" s="299">
        <f t="shared" si="2"/>
        <v>558.36113126631869</v>
      </c>
      <c r="AP18" s="9">
        <f>$AP$16</f>
        <v>1.31</v>
      </c>
      <c r="AQ18" s="281">
        <f t="shared" si="3"/>
        <v>731.45308195887753</v>
      </c>
    </row>
    <row r="19" spans="1:48" ht="18.600000000000001" thickBot="1" x14ac:dyDescent="0.45">
      <c r="O19" s="235" t="s">
        <v>204</v>
      </c>
      <c r="P19" s="237">
        <f>10.5</f>
        <v>10.5</v>
      </c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G19" s="230"/>
      <c r="AH19" s="127"/>
      <c r="AI19" s="127"/>
      <c r="AJ19" s="127"/>
      <c r="AK19" s="437">
        <v>3</v>
      </c>
      <c r="AL19" s="299">
        <f>' Masse e forze'!I12</f>
        <v>435.57962491427855</v>
      </c>
      <c r="AM19" s="9">
        <f>$AM$16</f>
        <v>1.2000000000000002</v>
      </c>
      <c r="AN19" s="281">
        <f t="shared" si="1"/>
        <v>522.69554989713436</v>
      </c>
      <c r="AO19" s="299">
        <f t="shared" si="2"/>
        <v>435.57962491427855</v>
      </c>
      <c r="AP19" s="9">
        <f>$AP$16</f>
        <v>1.31</v>
      </c>
      <c r="AQ19" s="281">
        <f t="shared" si="3"/>
        <v>570.60930863770488</v>
      </c>
    </row>
    <row r="20" spans="1:48" ht="16.8" thickBot="1" x14ac:dyDescent="0.35">
      <c r="O20" s="235" t="s">
        <v>205</v>
      </c>
      <c r="P20" s="238">
        <f>ABS(P18-P19)</f>
        <v>2.8536620153566616E-2</v>
      </c>
      <c r="T20" t="s">
        <v>197</v>
      </c>
      <c r="U20" s="223">
        <f>U18*U3</f>
        <v>3.1171500000000001</v>
      </c>
      <c r="V20" s="231"/>
      <c r="W20" s="231">
        <f t="shared" ref="W20:AE20" si="5">W18*W3</f>
        <v>2674.4864000000007</v>
      </c>
      <c r="X20" s="231"/>
      <c r="Y20" s="231">
        <f t="shared" si="5"/>
        <v>11853.828750000001</v>
      </c>
      <c r="Z20" s="231"/>
      <c r="AA20" s="231">
        <f t="shared" si="5"/>
        <v>26960.230350000002</v>
      </c>
      <c r="AB20" s="231"/>
      <c r="AC20" s="231">
        <f t="shared" si="5"/>
        <v>30217.933999999997</v>
      </c>
      <c r="AD20" s="231"/>
      <c r="AE20" s="231">
        <f t="shared" si="5"/>
        <v>73606.648349999989</v>
      </c>
      <c r="AG20" s="228">
        <f>U20+W20+Y20+AA20+AC20+AE20</f>
        <v>145316.245</v>
      </c>
      <c r="AH20" s="127"/>
      <c r="AI20" s="127"/>
      <c r="AJ20" s="127"/>
      <c r="AK20" s="437">
        <v>2</v>
      </c>
      <c r="AL20" s="299">
        <f>' Masse e forze'!I13</f>
        <v>297.24151990107487</v>
      </c>
      <c r="AM20" s="9">
        <f>$AM$16</f>
        <v>1.2000000000000002</v>
      </c>
      <c r="AN20" s="281">
        <f t="shared" si="1"/>
        <v>356.6898238812899</v>
      </c>
      <c r="AO20" s="299">
        <f t="shared" si="2"/>
        <v>297.24151990107487</v>
      </c>
      <c r="AP20" s="9">
        <f>$AP$16</f>
        <v>1.31</v>
      </c>
      <c r="AQ20" s="281">
        <f t="shared" si="3"/>
        <v>389.38639107040808</v>
      </c>
    </row>
    <row r="21" spans="1:48" ht="15.6" x14ac:dyDescent="0.3">
      <c r="U21" s="231"/>
      <c r="V21" s="231"/>
      <c r="W21" s="231"/>
      <c r="X21" s="231"/>
      <c r="Y21" s="231"/>
      <c r="Z21" s="231"/>
      <c r="AA21" s="231"/>
      <c r="AB21" s="231"/>
      <c r="AC21" s="231"/>
      <c r="AD21" s="231"/>
      <c r="AE21" s="231"/>
      <c r="AG21" s="230"/>
      <c r="AH21" s="127"/>
      <c r="AI21" s="127"/>
      <c r="AJ21" s="127"/>
      <c r="AK21" s="437">
        <v>1</v>
      </c>
      <c r="AL21" s="299">
        <f>' Masse e forze'!I14</f>
        <v>142.88862271805201</v>
      </c>
      <c r="AM21" s="9">
        <f>$AM$16</f>
        <v>1.2000000000000002</v>
      </c>
      <c r="AN21" s="281">
        <f t="shared" si="1"/>
        <v>171.46634726166243</v>
      </c>
      <c r="AO21" s="299">
        <f t="shared" si="2"/>
        <v>142.88862271805201</v>
      </c>
      <c r="AP21" s="9">
        <f>$AP$16</f>
        <v>1.31</v>
      </c>
      <c r="AQ21" s="281">
        <f t="shared" si="3"/>
        <v>187.18409576064815</v>
      </c>
    </row>
    <row r="22" spans="1:48" ht="18" x14ac:dyDescent="0.35">
      <c r="A22" s="744" t="s">
        <v>201</v>
      </c>
      <c r="B22" s="744"/>
      <c r="C22" s="744"/>
      <c r="D22" s="744"/>
      <c r="E22" s="744"/>
      <c r="F22" s="744"/>
      <c r="G22" s="744"/>
      <c r="H22" s="744"/>
      <c r="I22" s="744"/>
      <c r="J22" s="744"/>
      <c r="K22" s="744"/>
      <c r="L22" s="744"/>
      <c r="M22" s="744"/>
      <c r="N22" s="744"/>
      <c r="O22" s="744"/>
      <c r="P22" s="744"/>
      <c r="Q22" s="744"/>
      <c r="S22" s="744" t="s">
        <v>202</v>
      </c>
      <c r="T22" s="744"/>
      <c r="U22" s="744"/>
      <c r="V22" s="744"/>
      <c r="W22" s="744"/>
      <c r="X22" s="744"/>
      <c r="Y22" s="744"/>
      <c r="Z22" s="744"/>
      <c r="AA22" s="744"/>
      <c r="AB22" s="744"/>
      <c r="AC22" s="744"/>
      <c r="AD22" s="744"/>
      <c r="AE22" s="744"/>
      <c r="AF22" s="744"/>
      <c r="AG22" s="744"/>
      <c r="AH22" s="744"/>
      <c r="AI22" s="744"/>
      <c r="AJ22" s="127"/>
    </row>
    <row r="23" spans="1:48" x14ac:dyDescent="0.3">
      <c r="AG23" s="127"/>
      <c r="AH23" s="127"/>
      <c r="AI23" s="127"/>
      <c r="AJ23" s="127"/>
    </row>
    <row r="24" spans="1:48" ht="33.6" x14ac:dyDescent="0.3">
      <c r="B24" s="231" t="s">
        <v>200</v>
      </c>
      <c r="C24">
        <v>0.15</v>
      </c>
      <c r="E24">
        <f>C24+5.2</f>
        <v>5.3500000000000005</v>
      </c>
      <c r="G24">
        <f>E24+3.9</f>
        <v>9.25</v>
      </c>
      <c r="I24">
        <f>G24+4.7</f>
        <v>13.95</v>
      </c>
      <c r="K24">
        <f>I24+5.2</f>
        <v>19.149999999999999</v>
      </c>
      <c r="M24" s="21">
        <f>K24+3.9</f>
        <v>23.049999999999997</v>
      </c>
      <c r="O24" s="231" t="s">
        <v>181</v>
      </c>
      <c r="P24" s="231" t="s">
        <v>191</v>
      </c>
      <c r="Q24" s="231" t="s">
        <v>192</v>
      </c>
      <c r="T24" s="231" t="s">
        <v>200</v>
      </c>
      <c r="U24">
        <v>0.15</v>
      </c>
      <c r="W24">
        <f>U24+5.2</f>
        <v>5.3500000000000005</v>
      </c>
      <c r="Y24">
        <f>W24+3.9</f>
        <v>9.25</v>
      </c>
      <c r="AA24">
        <f>Y24+4.7</f>
        <v>13.95</v>
      </c>
      <c r="AC24">
        <f>AA24+5.2</f>
        <v>19.149999999999999</v>
      </c>
      <c r="AE24" s="21">
        <f>AC24+3.9</f>
        <v>23.049999999999997</v>
      </c>
      <c r="AG24" s="127"/>
      <c r="AH24" s="127"/>
      <c r="AI24" s="127"/>
      <c r="AS24" s="490" t="s">
        <v>81</v>
      </c>
      <c r="AT24" s="481" t="s">
        <v>482</v>
      </c>
      <c r="AU24" s="481" t="s">
        <v>483</v>
      </c>
      <c r="AV24" s="481" t="s">
        <v>484</v>
      </c>
    </row>
    <row r="25" spans="1:48" ht="15.6" x14ac:dyDescent="0.3">
      <c r="AG25" s="127"/>
      <c r="AH25" s="127"/>
      <c r="AI25" s="127"/>
      <c r="AO25" s="9"/>
      <c r="AP25" s="485"/>
      <c r="AQ25" s="9"/>
      <c r="AR25" s="9"/>
      <c r="AS25" s="491" t="s">
        <v>64</v>
      </c>
      <c r="AT25" s="81">
        <f>AH118</f>
        <v>11.6</v>
      </c>
      <c r="AU25" s="81">
        <v>10.5</v>
      </c>
      <c r="AV25" s="358">
        <v>8.5211501571090746</v>
      </c>
    </row>
    <row r="26" spans="1:48" ht="16.2" thickBot="1" x14ac:dyDescent="0.35">
      <c r="A26" s="4" t="s">
        <v>199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S26" s="231" t="s">
        <v>199</v>
      </c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G26" s="127"/>
      <c r="AH26" s="127"/>
      <c r="AI26" s="127"/>
      <c r="AS26" s="483">
        <v>5</v>
      </c>
      <c r="AT26" s="81">
        <f>AH97</f>
        <v>11.4</v>
      </c>
      <c r="AU26" s="81">
        <v>10.5</v>
      </c>
      <c r="AV26" s="358">
        <v>9.1214034007931044</v>
      </c>
    </row>
    <row r="27" spans="1:48" ht="16.2" thickBot="1" x14ac:dyDescent="0.35">
      <c r="A27" s="223">
        <f>A29+5.15</f>
        <v>20.799999999999997</v>
      </c>
      <c r="B27" s="21"/>
      <c r="C27" s="231"/>
      <c r="D27" s="231"/>
      <c r="E27" s="231"/>
      <c r="F27" s="231"/>
      <c r="G27" s="231"/>
      <c r="H27" s="231"/>
      <c r="I27" s="234">
        <f>'Ap. tipologi di pila '!$H$192</f>
        <v>27.90418388429752</v>
      </c>
      <c r="J27" s="231"/>
      <c r="K27" s="234">
        <f>'Ap. tipologi di pila '!$H$178</f>
        <v>46.937992354031508</v>
      </c>
      <c r="L27" s="231"/>
      <c r="M27" s="234">
        <f>'Ap. tipologi di pila '!H192</f>
        <v>27.90418388429752</v>
      </c>
      <c r="O27" s="223">
        <f>I27+K27+M27</f>
        <v>102.74636012262656</v>
      </c>
      <c r="P27" s="231">
        <f>O27*A27</f>
        <v>2137.1242905506319</v>
      </c>
      <c r="Q27" s="223">
        <f>P27*A27</f>
        <v>44452.185243453139</v>
      </c>
      <c r="S27" s="21">
        <f>S29+5.15</f>
        <v>20.799999999999997</v>
      </c>
      <c r="T27" s="21"/>
      <c r="U27" s="231"/>
      <c r="V27" s="231"/>
      <c r="W27" s="231"/>
      <c r="X27" s="231"/>
      <c r="Y27" s="231"/>
      <c r="Z27" s="231"/>
      <c r="AA27" s="234">
        <f>'Ap. tipologi di pila '!$L$195</f>
        <v>12.343339572952772</v>
      </c>
      <c r="AB27" s="231"/>
      <c r="AC27" s="234">
        <f>'Ap. tipologi di pila '!$L$195</f>
        <v>12.343339572952772</v>
      </c>
      <c r="AD27" s="231"/>
      <c r="AE27" s="234">
        <f>'Ap. tipologi di pila '!$L$195</f>
        <v>12.343339572952772</v>
      </c>
      <c r="AG27" s="227"/>
      <c r="AH27" s="127"/>
      <c r="AI27" s="227"/>
      <c r="AS27" s="483">
        <v>4</v>
      </c>
      <c r="AT27" s="81">
        <f>AH76</f>
        <v>11.4</v>
      </c>
      <c r="AU27" s="81">
        <v>10.5</v>
      </c>
      <c r="AV27" s="358">
        <v>9.1214034007931044</v>
      </c>
    </row>
    <row r="28" spans="1:48" ht="16.2" thickBot="1" x14ac:dyDescent="0.35">
      <c r="A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O28" s="231"/>
      <c r="P28" s="231"/>
      <c r="Q28" s="223"/>
      <c r="U28" s="231"/>
      <c r="V28" s="231"/>
      <c r="W28" s="231"/>
      <c r="X28" s="231"/>
      <c r="Y28" s="231"/>
      <c r="Z28" s="231"/>
      <c r="AA28" s="231"/>
      <c r="AB28" s="231"/>
      <c r="AC28" s="231"/>
      <c r="AD28" s="231"/>
      <c r="AE28" s="231"/>
      <c r="AG28" s="127"/>
      <c r="AH28" s="127"/>
      <c r="AI28" s="227"/>
      <c r="AS28" s="483">
        <v>3</v>
      </c>
      <c r="AT28" s="81">
        <f>AH55</f>
        <v>11.4</v>
      </c>
      <c r="AU28" s="81">
        <v>10.5</v>
      </c>
      <c r="AV28" s="358">
        <v>9.1214034007931044</v>
      </c>
    </row>
    <row r="29" spans="1:48" ht="16.2" thickBot="1" x14ac:dyDescent="0.35">
      <c r="A29" s="231">
        <f>A31+4.7</f>
        <v>15.649999999999999</v>
      </c>
      <c r="C29" s="234">
        <f>'Ap. tipologi di pila '!$H$192</f>
        <v>27.90418388429752</v>
      </c>
      <c r="D29" s="231"/>
      <c r="E29" s="234">
        <f>'Ap. tipologi di pila '!$H$178</f>
        <v>46.937992354031508</v>
      </c>
      <c r="F29" s="231"/>
      <c r="G29" s="234">
        <f>'Ap. tipologi di pila '!$H$178</f>
        <v>46.937992354031508</v>
      </c>
      <c r="H29" s="231"/>
      <c r="I29" s="234">
        <f>'Ap. tipologi di pila '!$H$211</f>
        <v>13.323329144381612</v>
      </c>
      <c r="J29" s="231"/>
      <c r="K29" s="234">
        <f>'Ap. tipologi di pila '!$H$211</f>
        <v>13.323329144381612</v>
      </c>
      <c r="L29" s="231"/>
      <c r="M29" s="234">
        <f>'Ap. tipologi di pila '!H195</f>
        <v>12.949285333806817</v>
      </c>
      <c r="O29" s="223">
        <f>C29+E29+G29+I29+K29+M29</f>
        <v>161.37611221493057</v>
      </c>
      <c r="P29" s="231">
        <f>O29*A29</f>
        <v>2525.5361561636632</v>
      </c>
      <c r="Q29" s="223">
        <f>P29*A29</f>
        <v>39524.64084396133</v>
      </c>
      <c r="S29">
        <f>S31+4.7</f>
        <v>15.649999999999999</v>
      </c>
      <c r="U29" s="234">
        <f>'Ap. tipologi di pila '!$L$195</f>
        <v>12.343339572952772</v>
      </c>
      <c r="V29" s="231"/>
      <c r="W29" s="234">
        <f>'Ap. tipologi di pila '!$L$195</f>
        <v>12.343339572952772</v>
      </c>
      <c r="X29" s="231"/>
      <c r="Y29" s="234">
        <f>'Ap. tipologi di pila '!$L$195</f>
        <v>12.343339572952772</v>
      </c>
      <c r="Z29" s="231"/>
      <c r="AA29" s="234">
        <f>'Ap. tipologi di pila '!$L$178</f>
        <v>43.103058510638284</v>
      </c>
      <c r="AB29" s="231"/>
      <c r="AC29" s="234">
        <f>'Ap. tipologi di pila '!L206</f>
        <v>27.982394134665956</v>
      </c>
      <c r="AD29" s="231"/>
      <c r="AE29" s="234">
        <f>'Ap. tipologi di pila '!$L$178</f>
        <v>43.103058510638284</v>
      </c>
      <c r="AG29" s="227"/>
      <c r="AH29" s="127"/>
      <c r="AI29" s="227"/>
      <c r="AS29" s="483">
        <v>2</v>
      </c>
      <c r="AT29" s="81">
        <f>AH34</f>
        <v>11.6</v>
      </c>
      <c r="AU29" s="81">
        <v>10.5</v>
      </c>
      <c r="AV29" s="358">
        <v>9.1214034007931044</v>
      </c>
    </row>
    <row r="30" spans="1:48" ht="16.2" thickBot="1" x14ac:dyDescent="0.35">
      <c r="A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O30" s="231"/>
      <c r="P30" s="231"/>
      <c r="Q30" s="223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G30" s="127"/>
      <c r="AH30" s="127"/>
      <c r="AI30" s="227"/>
      <c r="AS30" s="483">
        <v>1</v>
      </c>
      <c r="AT30" s="81">
        <f>AH13</f>
        <v>11.6</v>
      </c>
      <c r="AU30" s="81">
        <v>10.5</v>
      </c>
      <c r="AV30" s="358">
        <v>8.8281198451312388</v>
      </c>
    </row>
    <row r="31" spans="1:48" ht="15" thickBot="1" x14ac:dyDescent="0.35">
      <c r="A31" s="231">
        <f>A33+5.6</f>
        <v>10.95</v>
      </c>
      <c r="C31" s="234">
        <f>'Ap. tipologi di pila '!$H$202</f>
        <v>2.4465902117213867</v>
      </c>
      <c r="D31" s="231"/>
      <c r="E31" s="234">
        <f>'Ap. tipologi di pila '!H188</f>
        <v>4.3774018665934662</v>
      </c>
      <c r="F31" s="231"/>
      <c r="G31" s="234">
        <f>'Ap. tipologi di pila '!$H$211</f>
        <v>13.323329144381612</v>
      </c>
      <c r="H31" s="231"/>
      <c r="I31" s="234">
        <f>'Ap. tipologi di pila '!H181</f>
        <v>15.950967376469762</v>
      </c>
      <c r="J31" s="231"/>
      <c r="K31" s="234">
        <f>'Ap. tipologi di pila '!H178</f>
        <v>46.937992354031508</v>
      </c>
      <c r="L31" s="231"/>
      <c r="M31" s="234">
        <f>'Ap. tipologi di pila '!H195</f>
        <v>12.949285333806817</v>
      </c>
      <c r="O31" s="223">
        <f>C31+E31+G31+I31+K31+M31</f>
        <v>95.985566287004545</v>
      </c>
      <c r="P31" s="231">
        <f>O31*A31</f>
        <v>1051.0419508426996</v>
      </c>
      <c r="Q31" s="223">
        <f>P31*A31</f>
        <v>11508.909361727559</v>
      </c>
      <c r="S31">
        <f>S33+5.6</f>
        <v>10.95</v>
      </c>
      <c r="U31" s="234">
        <f>'Ap. tipologi di pila '!$L$178</f>
        <v>43.103058510638284</v>
      </c>
      <c r="V31" s="231"/>
      <c r="W31" s="234">
        <f>'Ap. tipologi di pila '!$L$178</f>
        <v>43.103058510638284</v>
      </c>
      <c r="X31" s="231"/>
      <c r="Y31" s="234">
        <f>'Ap. tipologi di pila '!$L$178</f>
        <v>43.103058510638284</v>
      </c>
      <c r="Z31" s="231"/>
      <c r="AA31" s="234">
        <f>'Ap. tipologi di pila '!$L$178</f>
        <v>43.103058510638284</v>
      </c>
      <c r="AB31" s="231"/>
      <c r="AC31" s="234">
        <f>'Ap. tipologi di pila '!L211</f>
        <v>12.728388142512253</v>
      </c>
      <c r="AD31" s="231"/>
      <c r="AE31" s="234">
        <f>'Ap. tipologi di pila '!$L$178</f>
        <v>43.103058510638284</v>
      </c>
      <c r="AG31" s="227"/>
      <c r="AH31" s="127"/>
      <c r="AI31" s="227"/>
    </row>
    <row r="32" spans="1:48" ht="15" thickBot="1" x14ac:dyDescent="0.35">
      <c r="A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O32" s="231"/>
      <c r="P32" s="231"/>
      <c r="Q32" s="223"/>
      <c r="U32" s="231"/>
      <c r="V32" s="231"/>
      <c r="W32" s="231"/>
      <c r="X32" s="231"/>
      <c r="Y32" s="231"/>
      <c r="Z32" s="231"/>
      <c r="AA32" s="231"/>
      <c r="AB32" s="231"/>
      <c r="AC32" s="231"/>
      <c r="AD32" s="231"/>
      <c r="AE32" s="231"/>
      <c r="AG32" s="127"/>
      <c r="AI32" s="227"/>
    </row>
    <row r="33" spans="1:46" ht="16.2" thickBot="1" x14ac:dyDescent="0.4">
      <c r="A33" s="231">
        <f>A35+5.2</f>
        <v>5.3500000000000005</v>
      </c>
      <c r="C33" s="234">
        <f>'Ap. tipologi di pila '!$H$202</f>
        <v>2.4465902117213867</v>
      </c>
      <c r="D33" s="231"/>
      <c r="E33" s="234">
        <f>'Ap. tipologi di pila '!H185</f>
        <v>5.3459185383841765</v>
      </c>
      <c r="F33" s="231"/>
      <c r="G33" s="234">
        <f>'Ap. tipologi di pila '!$H$211</f>
        <v>13.323329144381612</v>
      </c>
      <c r="H33" s="231"/>
      <c r="I33" s="234">
        <f>'Ap. tipologi di pila '!$H$178</f>
        <v>46.937992354031508</v>
      </c>
      <c r="J33" s="231"/>
      <c r="K33" s="234">
        <f>'Ap. tipologi di pila '!$H$178</f>
        <v>46.937992354031508</v>
      </c>
      <c r="L33" s="231"/>
      <c r="M33" s="234">
        <f>'Ap. tipologi di pila '!$H$192</f>
        <v>27.90418388429752</v>
      </c>
      <c r="O33" s="223">
        <f>C33+E33+G33+I33+K33+M33</f>
        <v>142.89600648684771</v>
      </c>
      <c r="P33" s="231">
        <f>O33*A33</f>
        <v>764.49363470463538</v>
      </c>
      <c r="Q33" s="223">
        <f>P33*A33</f>
        <v>4090.0409456697998</v>
      </c>
      <c r="S33">
        <f>S35+5.2</f>
        <v>5.3500000000000005</v>
      </c>
      <c r="U33" s="234">
        <f>'Ap. tipologi di pila '!$L$178</f>
        <v>43.103058510638284</v>
      </c>
      <c r="V33" s="231"/>
      <c r="W33" s="234">
        <f>'Ap. tipologi di pila '!L181</f>
        <v>15.48284115998641</v>
      </c>
      <c r="X33" s="231"/>
      <c r="Y33" s="234">
        <f>'Ap. tipologi di pila '!$L$178</f>
        <v>43.103058510638284</v>
      </c>
      <c r="Z33" s="231"/>
      <c r="AA33" s="234">
        <f>'Ap. tipologi di pila '!$L$195</f>
        <v>12.343339572952772</v>
      </c>
      <c r="AB33" s="231"/>
      <c r="AC33" s="234">
        <f>'Ap. tipologi di pila '!$L$195</f>
        <v>12.343339572952772</v>
      </c>
      <c r="AD33" s="231"/>
      <c r="AE33" s="234">
        <f>'Ap. tipologi di pila '!$L$195</f>
        <v>12.343339572952772</v>
      </c>
      <c r="AG33" s="225" t="s">
        <v>198</v>
      </c>
      <c r="AH33" s="226">
        <f>AG39/AG37</f>
        <v>11.554912318264968</v>
      </c>
      <c r="AI33" s="227"/>
      <c r="AK33" t="s">
        <v>485</v>
      </c>
    </row>
    <row r="34" spans="1:46" ht="34.200000000000003" thickBot="1" x14ac:dyDescent="0.45">
      <c r="A34" s="231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O34" s="231"/>
      <c r="P34" s="231"/>
      <c r="Q34" s="223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G34" s="235" t="s">
        <v>206</v>
      </c>
      <c r="AH34" s="236">
        <f>11.6</f>
        <v>11.6</v>
      </c>
      <c r="AI34" s="227"/>
      <c r="AK34" s="493">
        <v>46.353854697860086</v>
      </c>
      <c r="AP34" s="490" t="s">
        <v>81</v>
      </c>
      <c r="AQ34" s="494" t="s">
        <v>486</v>
      </c>
      <c r="AR34" s="494" t="s">
        <v>487</v>
      </c>
      <c r="AS34" s="494" t="s">
        <v>488</v>
      </c>
      <c r="AT34" s="494" t="s">
        <v>489</v>
      </c>
    </row>
    <row r="35" spans="1:46" ht="16.2" thickBot="1" x14ac:dyDescent="0.35">
      <c r="A35" s="231">
        <f>0.15</f>
        <v>0.15</v>
      </c>
      <c r="C35" s="234">
        <f>'Ap. tipologi di pila '!$H$192</f>
        <v>27.90418388429752</v>
      </c>
      <c r="D35" s="231"/>
      <c r="E35" s="234">
        <f>'Ap. tipologi di pila '!$H$178</f>
        <v>46.937992354031508</v>
      </c>
      <c r="F35" s="231"/>
      <c r="G35" s="234">
        <f>'Ap. tipologi di pila '!$H$192</f>
        <v>27.90418388429752</v>
      </c>
      <c r="H35" s="231"/>
      <c r="I35" s="231"/>
      <c r="J35" s="231"/>
      <c r="K35" s="231"/>
      <c r="L35" s="231"/>
      <c r="M35" s="231"/>
      <c r="O35" s="223">
        <f>C35+E35+G35</f>
        <v>102.74636012262656</v>
      </c>
      <c r="P35" s="231">
        <f>O35*A35</f>
        <v>15.411954018393983</v>
      </c>
      <c r="Q35" s="223">
        <f>P35*A35</f>
        <v>2.3117931027590974</v>
      </c>
      <c r="S35">
        <f>0.15</f>
        <v>0.15</v>
      </c>
      <c r="U35" s="234">
        <f>'Ap. tipologi di pila '!$L$195</f>
        <v>12.343339572952772</v>
      </c>
      <c r="V35" s="231"/>
      <c r="W35" s="234">
        <f>'Ap. tipologi di pila '!$L$195</f>
        <v>12.343339572952772</v>
      </c>
      <c r="X35" s="231"/>
      <c r="Y35" s="234">
        <f>'Ap. tipologi di pila '!$L$195</f>
        <v>12.343339572952772</v>
      </c>
      <c r="Z35" s="231"/>
      <c r="AA35" s="231"/>
      <c r="AB35" s="231"/>
      <c r="AC35" s="231"/>
      <c r="AD35" s="231"/>
      <c r="AE35" s="231"/>
      <c r="AG35" s="235" t="s">
        <v>205</v>
      </c>
      <c r="AH35" s="238">
        <f>ABS(AH33-AH34)</f>
        <v>4.5087681735031637E-2</v>
      </c>
      <c r="AI35" s="227"/>
      <c r="AK35" s="493">
        <v>38.755082952158446</v>
      </c>
      <c r="AP35" s="496" t="s">
        <v>64</v>
      </c>
      <c r="AQ35" s="497">
        <v>11.6</v>
      </c>
      <c r="AR35" s="57">
        <v>10.5</v>
      </c>
      <c r="AS35" s="8">
        <f>AH117</f>
        <v>11.616831793338068</v>
      </c>
      <c r="AT35" s="8">
        <f>P123</f>
        <v>10.723042066134383</v>
      </c>
    </row>
    <row r="36" spans="1:46" ht="15.6" x14ac:dyDescent="0.3"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O36" s="231"/>
      <c r="P36" s="231"/>
      <c r="Q36" s="231"/>
      <c r="U36" s="231"/>
      <c r="V36" s="231"/>
      <c r="W36" s="231"/>
      <c r="X36" s="231"/>
      <c r="Y36" s="231"/>
      <c r="Z36" s="231"/>
      <c r="AA36" s="231"/>
      <c r="AB36" s="231"/>
      <c r="AC36" s="231"/>
      <c r="AD36" s="231"/>
      <c r="AE36" s="231"/>
      <c r="AG36" s="127"/>
      <c r="AH36" s="127"/>
      <c r="AI36" s="127"/>
      <c r="AK36" s="493">
        <v>76.498300631539195</v>
      </c>
      <c r="AP36" s="496">
        <v>5</v>
      </c>
      <c r="AQ36" s="497">
        <v>11.4</v>
      </c>
      <c r="AR36" s="57">
        <v>10.5</v>
      </c>
      <c r="AS36" s="8">
        <f>AH96</f>
        <v>11.611545289294712</v>
      </c>
      <c r="AT36" s="8">
        <f>P102</f>
        <v>10.729221120796494</v>
      </c>
    </row>
    <row r="37" spans="1:46" ht="15.6" x14ac:dyDescent="0.3">
      <c r="O37" s="232">
        <f>O27+O29+O31+O33+O35</f>
        <v>605.75040523403595</v>
      </c>
      <c r="P37" s="233">
        <f>P27+P29+P31+P33+P35</f>
        <v>6493.6079862800234</v>
      </c>
      <c r="Q37" s="233">
        <f>Q27+Q29+Q31+Q33+Q35</f>
        <v>99578.088187914575</v>
      </c>
      <c r="T37" t="s">
        <v>181</v>
      </c>
      <c r="U37" s="223">
        <f>U29+U31+U33+U35</f>
        <v>110.89279616718211</v>
      </c>
      <c r="V37" s="231"/>
      <c r="W37" s="223">
        <f>W29+W31+W33+W35</f>
        <v>83.272578816530242</v>
      </c>
      <c r="X37" s="231"/>
      <c r="Y37" s="223">
        <f>Y29+Y31+Y33+Y35</f>
        <v>110.89279616718211</v>
      </c>
      <c r="Z37" s="231"/>
      <c r="AA37" s="223">
        <f>AA27+AA29+AA31+AA33</f>
        <v>110.89279616718211</v>
      </c>
      <c r="AB37" s="231"/>
      <c r="AC37" s="223">
        <f>AC27+AC29+AC31+AC33</f>
        <v>65.39746142308374</v>
      </c>
      <c r="AD37" s="231"/>
      <c r="AE37" s="223">
        <f>AE27+AE29+AE31+AE33</f>
        <v>110.89279616718211</v>
      </c>
      <c r="AG37" s="228">
        <f>U37+W37+Y37+AA37+AC37+AE37</f>
        <v>592.24122490834247</v>
      </c>
      <c r="AH37" s="127"/>
      <c r="AI37" s="127"/>
      <c r="AK37" s="493">
        <v>91.636335879342425</v>
      </c>
      <c r="AP37" s="496">
        <v>4</v>
      </c>
      <c r="AQ37" s="497">
        <v>11.4</v>
      </c>
      <c r="AR37" s="57">
        <v>10.5</v>
      </c>
      <c r="AS37" s="8">
        <f>AH75</f>
        <v>11.578362711868751</v>
      </c>
      <c r="AT37" s="8">
        <f>P81</f>
        <v>10.726694989473545</v>
      </c>
    </row>
    <row r="38" spans="1:46" ht="16.2" thickBot="1" x14ac:dyDescent="0.35"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G38" s="230"/>
      <c r="AH38" s="127"/>
      <c r="AI38" s="127"/>
      <c r="AK38" s="493">
        <v>102.74636012262656</v>
      </c>
      <c r="AP38" s="496">
        <v>3</v>
      </c>
      <c r="AQ38" s="497">
        <v>11.4</v>
      </c>
      <c r="AR38" s="57">
        <v>10.5</v>
      </c>
      <c r="AS38" s="8">
        <f>AH54</f>
        <v>11.577598705008375</v>
      </c>
      <c r="AT38" s="8">
        <f>P60</f>
        <v>10.720292763258604</v>
      </c>
    </row>
    <row r="39" spans="1:46" ht="16.2" thickBot="1" x14ac:dyDescent="0.4">
      <c r="O39" s="225" t="s">
        <v>193</v>
      </c>
      <c r="P39" s="226">
        <f>P37/O37</f>
        <v>10.71993997886171</v>
      </c>
      <c r="Q39" s="229" t="s">
        <v>30</v>
      </c>
      <c r="T39" t="s">
        <v>196</v>
      </c>
      <c r="U39" s="223">
        <f>U37*U24</f>
        <v>16.633919425077316</v>
      </c>
      <c r="V39" s="231"/>
      <c r="W39" s="231">
        <f>W37*W24</f>
        <v>445.50829666843686</v>
      </c>
      <c r="X39" s="231"/>
      <c r="Y39" s="231">
        <f>Y37*Y24</f>
        <v>1025.7583645464344</v>
      </c>
      <c r="Z39" s="231"/>
      <c r="AA39" s="231">
        <f>AA37*AA24</f>
        <v>1546.9545065321904</v>
      </c>
      <c r="AB39" s="231"/>
      <c r="AC39" s="231">
        <f>AC37*AC24</f>
        <v>1252.3613862520535</v>
      </c>
      <c r="AD39" s="231"/>
      <c r="AE39" s="231">
        <f>AE37*AE24</f>
        <v>2556.0789516535474</v>
      </c>
      <c r="AG39" s="228">
        <f>U39+W39+Y39+AA39+AC39+AE39</f>
        <v>6843.2954250777402</v>
      </c>
      <c r="AH39" s="228"/>
      <c r="AI39" s="127"/>
      <c r="AK39" s="493">
        <v>155.96</v>
      </c>
      <c r="AP39" s="496">
        <v>2</v>
      </c>
      <c r="AQ39" s="497">
        <v>11.6</v>
      </c>
      <c r="AR39" s="57">
        <v>10.5</v>
      </c>
      <c r="AS39" s="8">
        <f>AH33</f>
        <v>11.554912318264968</v>
      </c>
      <c r="AT39" s="8">
        <f>P39</f>
        <v>10.71993997886171</v>
      </c>
    </row>
    <row r="40" spans="1:46" ht="18.600000000000001" thickBot="1" x14ac:dyDescent="0.45">
      <c r="O40" s="235" t="s">
        <v>204</v>
      </c>
      <c r="P40" s="237">
        <f>10.5</f>
        <v>10.5</v>
      </c>
      <c r="Q40" s="229" t="s">
        <v>30</v>
      </c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1"/>
      <c r="AG40" s="230"/>
      <c r="AH40" s="127"/>
      <c r="AI40" s="127"/>
      <c r="AP40" s="496">
        <v>1</v>
      </c>
      <c r="AQ40" s="497">
        <v>11.6</v>
      </c>
      <c r="AR40" s="57">
        <v>10.5</v>
      </c>
      <c r="AS40" s="8">
        <f>AH12</f>
        <v>11.652219178082193</v>
      </c>
      <c r="AT40" s="8">
        <f>P18</f>
        <v>10.471463379846433</v>
      </c>
    </row>
    <row r="41" spans="1:46" ht="16.8" thickBot="1" x14ac:dyDescent="0.35">
      <c r="O41" s="235" t="s">
        <v>205</v>
      </c>
      <c r="P41" s="238">
        <f>ABS(P39-P40)</f>
        <v>0.21993997886171002</v>
      </c>
      <c r="T41" t="s">
        <v>197</v>
      </c>
      <c r="U41" s="223">
        <f>U39*U24</f>
        <v>2.4950879137615973</v>
      </c>
      <c r="V41" s="231"/>
      <c r="W41" s="231">
        <f>W39*W24</f>
        <v>2383.4693871761374</v>
      </c>
      <c r="X41" s="231"/>
      <c r="Y41" s="231">
        <f>Y39*Y24</f>
        <v>9488.2648720545185</v>
      </c>
      <c r="Z41" s="231"/>
      <c r="AA41" s="231">
        <f>AA39*AA24</f>
        <v>21580.015366124055</v>
      </c>
      <c r="AB41" s="231"/>
      <c r="AC41" s="231">
        <f>AC39*AC24</f>
        <v>23982.720546726825</v>
      </c>
      <c r="AD41" s="231"/>
      <c r="AE41" s="231">
        <f>AE39*AE24</f>
        <v>58917.619835614263</v>
      </c>
      <c r="AG41" s="228">
        <f>U41+W41+Y41+AA41+AC41+AE41</f>
        <v>116354.58509560957</v>
      </c>
      <c r="AH41" s="127"/>
      <c r="AI41" s="127"/>
      <c r="AT41" s="495"/>
    </row>
    <row r="43" spans="1:46" ht="18" x14ac:dyDescent="0.35">
      <c r="A43" s="744" t="s">
        <v>207</v>
      </c>
      <c r="B43" s="744"/>
      <c r="C43" s="744"/>
      <c r="D43" s="744"/>
      <c r="E43" s="744"/>
      <c r="F43" s="744"/>
      <c r="G43" s="744"/>
      <c r="H43" s="744"/>
      <c r="I43" s="744"/>
      <c r="J43" s="744"/>
      <c r="K43" s="744"/>
      <c r="L43" s="744"/>
      <c r="M43" s="744"/>
      <c r="N43" s="744"/>
      <c r="O43" s="744"/>
      <c r="P43" s="744"/>
      <c r="Q43" s="744"/>
      <c r="S43" s="744" t="s">
        <v>208</v>
      </c>
      <c r="T43" s="744"/>
      <c r="U43" s="744"/>
      <c r="V43" s="744"/>
      <c r="W43" s="744"/>
      <c r="X43" s="744"/>
      <c r="Y43" s="744"/>
      <c r="Z43" s="744"/>
      <c r="AA43" s="744"/>
      <c r="AB43" s="744"/>
      <c r="AC43" s="744"/>
      <c r="AD43" s="744"/>
      <c r="AE43" s="744"/>
      <c r="AF43" s="744"/>
      <c r="AG43" s="744"/>
      <c r="AH43" s="744"/>
      <c r="AI43" s="744"/>
    </row>
    <row r="44" spans="1:46" x14ac:dyDescent="0.3">
      <c r="AG44" s="127"/>
      <c r="AH44" s="127"/>
      <c r="AI44" s="127"/>
    </row>
    <row r="45" spans="1:46" ht="16.2" x14ac:dyDescent="0.3">
      <c r="B45" s="231" t="s">
        <v>200</v>
      </c>
      <c r="C45">
        <v>0.15</v>
      </c>
      <c r="E45">
        <f>C45+5.2</f>
        <v>5.3500000000000005</v>
      </c>
      <c r="G45">
        <f>E45+3.9</f>
        <v>9.25</v>
      </c>
      <c r="I45">
        <f>G45+4.7</f>
        <v>13.95</v>
      </c>
      <c r="K45">
        <f>I45+5.2</f>
        <v>19.149999999999999</v>
      </c>
      <c r="M45" s="21">
        <f>K45+3.9</f>
        <v>23.049999999999997</v>
      </c>
      <c r="O45" s="231" t="s">
        <v>181</v>
      </c>
      <c r="P45" s="231" t="s">
        <v>191</v>
      </c>
      <c r="Q45" s="231" t="s">
        <v>192</v>
      </c>
      <c r="T45" s="231" t="s">
        <v>200</v>
      </c>
      <c r="U45">
        <v>0.15</v>
      </c>
      <c r="W45">
        <f>U45+5.2</f>
        <v>5.3500000000000005</v>
      </c>
      <c r="Y45">
        <f>W45+3.9</f>
        <v>9.25</v>
      </c>
      <c r="AA45">
        <f>Y45+4.7</f>
        <v>13.95</v>
      </c>
      <c r="AC45">
        <f>AA45+5.2</f>
        <v>19.149999999999999</v>
      </c>
      <c r="AE45" s="21">
        <f>AC45+3.9</f>
        <v>23.049999999999997</v>
      </c>
      <c r="AG45" s="127"/>
      <c r="AH45" s="127"/>
      <c r="AI45" s="127"/>
    </row>
    <row r="46" spans="1:46" x14ac:dyDescent="0.3">
      <c r="AG46" s="127"/>
      <c r="AH46" s="127"/>
      <c r="AI46" s="127"/>
    </row>
    <row r="47" spans="1:46" ht="15" thickBot="1" x14ac:dyDescent="0.35">
      <c r="A47" s="4" t="s">
        <v>199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S47" s="231" t="s">
        <v>199</v>
      </c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G47" s="127"/>
      <c r="AH47" s="127"/>
      <c r="AI47" s="127"/>
    </row>
    <row r="48" spans="1:46" ht="15" thickBot="1" x14ac:dyDescent="0.35">
      <c r="A48" s="223">
        <f>A50+5.15</f>
        <v>20.799999999999997</v>
      </c>
      <c r="B48" s="21"/>
      <c r="C48" s="231"/>
      <c r="D48" s="231"/>
      <c r="E48" s="231"/>
      <c r="F48" s="231"/>
      <c r="G48" s="231"/>
      <c r="H48" s="231"/>
      <c r="I48" s="234">
        <f>'Ap. tipologi di pila '!$H$149</f>
        <v>25.527264994959676</v>
      </c>
      <c r="J48" s="231"/>
      <c r="K48" s="234">
        <f>'Ap. tipologi di pila '!$H$135</f>
        <v>40.581805889423073</v>
      </c>
      <c r="L48" s="231"/>
      <c r="M48" s="234">
        <f>'Ap. tipologi di pila '!$H$149</f>
        <v>25.527264994959676</v>
      </c>
      <c r="O48" s="223">
        <f>I48+K48+M48</f>
        <v>91.636335879342425</v>
      </c>
      <c r="P48" s="231">
        <f>O48*A48</f>
        <v>1906.0357862903222</v>
      </c>
      <c r="Q48" s="223">
        <f>P48*A48</f>
        <v>39645.544354838697</v>
      </c>
      <c r="S48" s="21">
        <f>S50+5.15</f>
        <v>20.799999999999997</v>
      </c>
      <c r="T48" s="21"/>
      <c r="U48" s="231"/>
      <c r="V48" s="231"/>
      <c r="W48" s="231"/>
      <c r="X48" s="231"/>
      <c r="Y48" s="231"/>
      <c r="Z48" s="231"/>
      <c r="AA48" s="234">
        <f>'Ap. tipologi di pila '!$L$152</f>
        <v>11.377167625549118</v>
      </c>
      <c r="AB48" s="231"/>
      <c r="AC48" s="234">
        <f>'Ap. tipologi di pila '!$L$152</f>
        <v>11.377167625549118</v>
      </c>
      <c r="AD48" s="231"/>
      <c r="AE48" s="234">
        <f>'Ap. tipologi di pila '!$L$152</f>
        <v>11.377167625549118</v>
      </c>
      <c r="AG48" s="227"/>
      <c r="AH48" s="127"/>
      <c r="AI48" s="227"/>
    </row>
    <row r="49" spans="1:35" ht="15" thickBot="1" x14ac:dyDescent="0.35">
      <c r="A49" s="231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O49" s="231"/>
      <c r="P49" s="231"/>
      <c r="Q49" s="223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G49" s="127"/>
      <c r="AH49" s="127"/>
      <c r="AI49" s="227"/>
    </row>
    <row r="50" spans="1:35" ht="15" thickBot="1" x14ac:dyDescent="0.35">
      <c r="A50" s="231">
        <f>A52+4.7</f>
        <v>15.649999999999999</v>
      </c>
      <c r="C50" s="234">
        <f>'Ap. tipologi di pila '!$H$149</f>
        <v>25.527264994959676</v>
      </c>
      <c r="D50" s="231"/>
      <c r="E50" s="234">
        <f>'Ap. tipologi di pila '!$H$135</f>
        <v>40.581805889423073</v>
      </c>
      <c r="F50" s="231"/>
      <c r="G50" s="234">
        <f>'Ap. tipologi di pila '!$H$135</f>
        <v>40.581805889423073</v>
      </c>
      <c r="H50" s="231"/>
      <c r="I50" s="234">
        <f>'Ap. tipologi di pila '!$H$168</f>
        <v>12.204602489419617</v>
      </c>
      <c r="J50" s="231"/>
      <c r="K50" s="234">
        <f>'Ap. tipologi di pila '!$H$168</f>
        <v>12.204602489419617</v>
      </c>
      <c r="L50" s="231"/>
      <c r="M50" s="234">
        <f>'Ap. tipologi di pila '!$H$152</f>
        <v>11.889994880790901</v>
      </c>
      <c r="O50" s="223">
        <f>C50+E50+G50+I50+K50+M50</f>
        <v>142.99007663343596</v>
      </c>
      <c r="P50" s="231">
        <f>O50*A50</f>
        <v>2237.7946993132728</v>
      </c>
      <c r="Q50" s="223">
        <f>P50*A50</f>
        <v>35021.487044252717</v>
      </c>
      <c r="S50">
        <f>S52+4.7</f>
        <v>15.649999999999999</v>
      </c>
      <c r="U50" s="234">
        <f>'Ap. tipologi di pila '!$L$152</f>
        <v>11.377167625549118</v>
      </c>
      <c r="V50" s="231"/>
      <c r="W50" s="234">
        <f>'Ap. tipologi di pila '!$L$152</f>
        <v>11.377167625549118</v>
      </c>
      <c r="X50" s="231"/>
      <c r="Y50" s="234">
        <f>'Ap. tipologi di pila '!$L$152</f>
        <v>11.377167625549118</v>
      </c>
      <c r="Z50" s="231"/>
      <c r="AA50" s="234">
        <f>'Ap. tipologi di pila '!$L$135</f>
        <v>37.683105468749993</v>
      </c>
      <c r="AB50" s="231"/>
      <c r="AC50" s="234">
        <f>'Ap. tipologi di pila '!L163</f>
        <v>25.592702981005679</v>
      </c>
      <c r="AD50" s="231"/>
      <c r="AE50" s="234">
        <f>'Ap. tipologi di pila '!$L$135</f>
        <v>37.683105468749993</v>
      </c>
      <c r="AG50" s="227"/>
      <c r="AH50" s="127"/>
      <c r="AI50" s="227"/>
    </row>
    <row r="51" spans="1:35" ht="15" thickBot="1" x14ac:dyDescent="0.35">
      <c r="A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O51" s="231"/>
      <c r="P51" s="231"/>
      <c r="Q51" s="223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G51" s="127"/>
      <c r="AH51" s="127"/>
      <c r="AI51" s="227"/>
    </row>
    <row r="52" spans="1:35" ht="15" thickBot="1" x14ac:dyDescent="0.35">
      <c r="A52" s="231">
        <f>A54+5.6</f>
        <v>10.95</v>
      </c>
      <c r="C52" s="234">
        <f>'Ap. tipologi di pila '!$H$159</f>
        <v>2.4060896883217655</v>
      </c>
      <c r="D52" s="231"/>
      <c r="E52" s="234">
        <f>'Ap. tipologi di pila '!H145</f>
        <v>4.2494242262743152</v>
      </c>
      <c r="F52" s="231"/>
      <c r="G52" s="234">
        <f>'Ap. tipologi di pila '!H168</f>
        <v>12.204602489419617</v>
      </c>
      <c r="H52" s="231"/>
      <c r="I52" s="234">
        <f>'Ap. tipologi di pila '!H138</f>
        <v>14.373576051652369</v>
      </c>
      <c r="J52" s="231"/>
      <c r="K52" s="234">
        <f>'Ap. tipologi di pila '!$H$135</f>
        <v>40.581805889423073</v>
      </c>
      <c r="L52" s="231"/>
      <c r="M52" s="234">
        <f>'Ap. tipologi di pila '!$H$152</f>
        <v>11.889994880790901</v>
      </c>
      <c r="O52" s="223">
        <f>C52+E52+G52+I52+K52+M52</f>
        <v>85.705493225882037</v>
      </c>
      <c r="P52" s="231">
        <f>O52*A52</f>
        <v>938.47515082340828</v>
      </c>
      <c r="Q52" s="223">
        <f>P52*A52</f>
        <v>10276.302901516319</v>
      </c>
      <c r="S52">
        <f>S54+5.6</f>
        <v>10.95</v>
      </c>
      <c r="U52" s="234">
        <f>'Ap. tipologi di pila '!$L$135</f>
        <v>37.683105468749993</v>
      </c>
      <c r="V52" s="231"/>
      <c r="W52" s="234">
        <f>'Ap. tipologi di pila '!$L$135</f>
        <v>37.683105468749993</v>
      </c>
      <c r="X52" s="231"/>
      <c r="Y52" s="234">
        <f>'Ap. tipologi di pila '!$L$135</f>
        <v>37.683105468749993</v>
      </c>
      <c r="Z52" s="231"/>
      <c r="AA52" s="234">
        <f>'Ap. tipologi di pila '!$L$135</f>
        <v>37.683105468749993</v>
      </c>
      <c r="AB52" s="231"/>
      <c r="AC52" s="234">
        <f>'Ap. tipologi di pila '!L168</f>
        <v>11.70349936808006</v>
      </c>
      <c r="AD52" s="231"/>
      <c r="AE52" s="234">
        <f>'Ap. tipologi di pila '!$L$135</f>
        <v>37.683105468749993</v>
      </c>
      <c r="AG52" s="227"/>
      <c r="AH52" s="127"/>
      <c r="AI52" s="227"/>
    </row>
    <row r="53" spans="1:35" ht="15" thickBot="1" x14ac:dyDescent="0.35">
      <c r="A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O53" s="231"/>
      <c r="P53" s="231"/>
      <c r="Q53" s="223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G53" s="127"/>
      <c r="AI53" s="227"/>
    </row>
    <row r="54" spans="1:35" ht="16.2" thickBot="1" x14ac:dyDescent="0.4">
      <c r="A54" s="231">
        <f>A56+5.2</f>
        <v>5.3500000000000005</v>
      </c>
      <c r="C54" s="234">
        <f>'Ap. tipologi di pila '!$H$159</f>
        <v>2.4060896883217655</v>
      </c>
      <c r="D54" s="231"/>
      <c r="E54" s="234">
        <f>'Ap. tipologi di pila '!H142</f>
        <v>5.252225684905528</v>
      </c>
      <c r="F54" s="231"/>
      <c r="G54" s="234">
        <f>'Ap. tipologi di pila '!H168</f>
        <v>12.204602489419617</v>
      </c>
      <c r="H54" s="231"/>
      <c r="I54" s="234">
        <f>'Ap. tipologi di pila '!$H$135</f>
        <v>40.581805889423073</v>
      </c>
      <c r="J54" s="231"/>
      <c r="K54" s="234">
        <f>'Ap. tipologi di pila '!$H$135</f>
        <v>40.581805889423073</v>
      </c>
      <c r="L54" s="231"/>
      <c r="M54" s="234">
        <f>'Ap. tipologi di pila '!$H$149</f>
        <v>25.527264994959676</v>
      </c>
      <c r="O54" s="223">
        <f>C54+E54+G54+I54+K54+M54</f>
        <v>126.55379463645274</v>
      </c>
      <c r="P54" s="231">
        <f>O54*A54</f>
        <v>677.06280130502216</v>
      </c>
      <c r="Q54" s="223">
        <f>P54*A54</f>
        <v>3622.285986981869</v>
      </c>
      <c r="S54">
        <f>S56+5.2</f>
        <v>5.3500000000000005</v>
      </c>
      <c r="U54" s="234">
        <f>'Ap. tipologi di pila '!$L$135</f>
        <v>37.683105468749993</v>
      </c>
      <c r="V54" s="231"/>
      <c r="W54" s="234">
        <f>'Ap. tipologi di pila '!L138</f>
        <v>13.992351539476912</v>
      </c>
      <c r="X54" s="231"/>
      <c r="Y54" s="234">
        <f>'Ap. tipologi di pila '!$L$135</f>
        <v>37.683105468749993</v>
      </c>
      <c r="Z54" s="231"/>
      <c r="AA54" s="234">
        <f>'Ap. tipologi di pila '!$L$152</f>
        <v>11.377167625549118</v>
      </c>
      <c r="AB54" s="231"/>
      <c r="AC54" s="234">
        <f>'Ap. tipologi di pila '!$L$152</f>
        <v>11.377167625549118</v>
      </c>
      <c r="AD54" s="231"/>
      <c r="AE54" s="234">
        <f>'Ap. tipologi di pila '!$L$152</f>
        <v>11.377167625549118</v>
      </c>
      <c r="AG54" s="225" t="s">
        <v>198</v>
      </c>
      <c r="AH54" s="226">
        <f>AG60/AG58</f>
        <v>11.577598705008375</v>
      </c>
      <c r="AI54" s="227"/>
    </row>
    <row r="55" spans="1:35" ht="18.600000000000001" thickBot="1" x14ac:dyDescent="0.45">
      <c r="A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O55" s="231"/>
      <c r="P55" s="231"/>
      <c r="Q55" s="223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G55" s="235" t="s">
        <v>206</v>
      </c>
      <c r="AH55" s="236">
        <f>11.4</f>
        <v>11.4</v>
      </c>
      <c r="AI55" s="227"/>
    </row>
    <row r="56" spans="1:35" ht="16.2" thickBot="1" x14ac:dyDescent="0.35">
      <c r="A56" s="231">
        <f>0.15</f>
        <v>0.15</v>
      </c>
      <c r="C56" s="234">
        <f>'Ap. tipologi di pila '!$H$149</f>
        <v>25.527264994959676</v>
      </c>
      <c r="D56" s="231"/>
      <c r="E56" s="234">
        <f>'Ap. tipologi di pila '!$H$135</f>
        <v>40.581805889423073</v>
      </c>
      <c r="F56" s="231"/>
      <c r="G56" s="234">
        <f>'Ap. tipologi di pila '!$H$149</f>
        <v>25.527264994959676</v>
      </c>
      <c r="H56" s="231"/>
      <c r="I56" s="231"/>
      <c r="J56" s="231"/>
      <c r="K56" s="231"/>
      <c r="L56" s="231"/>
      <c r="M56" s="231"/>
      <c r="O56" s="223">
        <f>C56+E56+G56</f>
        <v>91.636335879342425</v>
      </c>
      <c r="P56" s="231">
        <f>O56*A56</f>
        <v>13.745450381901364</v>
      </c>
      <c r="Q56" s="223">
        <f>P56*A56</f>
        <v>2.0618175572852047</v>
      </c>
      <c r="S56">
        <f>0.15</f>
        <v>0.15</v>
      </c>
      <c r="U56" s="234">
        <f>'Ap. tipologi di pila '!$L$152</f>
        <v>11.377167625549118</v>
      </c>
      <c r="V56" s="231"/>
      <c r="W56" s="234">
        <f>'Ap. tipologi di pila '!$L$152</f>
        <v>11.377167625549118</v>
      </c>
      <c r="X56" s="231"/>
      <c r="Y56" s="234">
        <f>'Ap. tipologi di pila '!$L$152</f>
        <v>11.377167625549118</v>
      </c>
      <c r="Z56" s="231"/>
      <c r="AA56" s="231"/>
      <c r="AB56" s="231"/>
      <c r="AC56" s="231"/>
      <c r="AD56" s="231"/>
      <c r="AE56" s="231"/>
      <c r="AG56" s="235" t="s">
        <v>205</v>
      </c>
      <c r="AH56" s="238">
        <f>ABS(AH54-AH55)</f>
        <v>0.17759870500837494</v>
      </c>
      <c r="AI56" s="227"/>
    </row>
    <row r="57" spans="1:35" x14ac:dyDescent="0.3"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O57" s="231"/>
      <c r="P57" s="231"/>
      <c r="Q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G57" s="127"/>
      <c r="AH57" s="127"/>
      <c r="AI57" s="127"/>
    </row>
    <row r="58" spans="1:35" x14ac:dyDescent="0.3">
      <c r="O58" s="232">
        <f>O48+O50+O52+O54+O56</f>
        <v>538.52203625445554</v>
      </c>
      <c r="P58" s="233">
        <f>P48+P50+P52+P54+P56</f>
        <v>5773.1138881139268</v>
      </c>
      <c r="Q58" s="233">
        <f>Q48+Q50+Q52+Q54+Q56</f>
        <v>88567.682105146887</v>
      </c>
      <c r="T58" t="s">
        <v>181</v>
      </c>
      <c r="U58" s="223">
        <f>U50+U52+U54+U56</f>
        <v>98.120546188598226</v>
      </c>
      <c r="V58" s="231"/>
      <c r="W58" s="223">
        <f>W50+W52+W54+W56</f>
        <v>74.42979225932514</v>
      </c>
      <c r="X58" s="231"/>
      <c r="Y58" s="223">
        <f>Y50+Y52+Y54+Y56</f>
        <v>98.120546188598226</v>
      </c>
      <c r="Z58" s="231"/>
      <c r="AA58" s="223">
        <f>AA48+AA50+AA52+AA54</f>
        <v>98.120546188598226</v>
      </c>
      <c r="AB58" s="231"/>
      <c r="AC58" s="223">
        <f>AC48+AC50+AC52+AC54</f>
        <v>60.050537600183979</v>
      </c>
      <c r="AD58" s="231"/>
      <c r="AE58" s="223">
        <f>AE48+AE50+AE52+AE54</f>
        <v>98.120546188598226</v>
      </c>
      <c r="AG58" s="228">
        <f>U58+W58+Y58+AA58+AC58+AE58</f>
        <v>526.96251461390204</v>
      </c>
      <c r="AH58" s="127"/>
      <c r="AI58" s="127"/>
    </row>
    <row r="59" spans="1:35" ht="15" thickBot="1" x14ac:dyDescent="0.35"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G59" s="230"/>
      <c r="AH59" s="127"/>
      <c r="AI59" s="127"/>
    </row>
    <row r="60" spans="1:35" ht="16.2" thickBot="1" x14ac:dyDescent="0.4">
      <c r="O60" s="225" t="s">
        <v>193</v>
      </c>
      <c r="P60" s="226">
        <f>P58/O58</f>
        <v>10.720292763258604</v>
      </c>
      <c r="T60" t="s">
        <v>196</v>
      </c>
      <c r="U60" s="223">
        <f>U58*U45</f>
        <v>14.718081928289733</v>
      </c>
      <c r="V60" s="231"/>
      <c r="W60" s="231">
        <f>W58*W45</f>
        <v>398.19938858738954</v>
      </c>
      <c r="X60" s="231"/>
      <c r="Y60" s="231">
        <f>Y58*Y45</f>
        <v>907.61505224453356</v>
      </c>
      <c r="Z60" s="231"/>
      <c r="AA60" s="231">
        <f>AA58*AA45</f>
        <v>1368.7816193309452</v>
      </c>
      <c r="AB60" s="231"/>
      <c r="AC60" s="231">
        <f>AC58*AC45</f>
        <v>1149.9677950435232</v>
      </c>
      <c r="AD60" s="231"/>
      <c r="AE60" s="231">
        <f>AE58*AE45</f>
        <v>2261.6785896471888</v>
      </c>
      <c r="AG60" s="228">
        <f>U60+W60+Y60+AA60+AC60+AE60</f>
        <v>6100.9605267818697</v>
      </c>
      <c r="AH60" s="228"/>
      <c r="AI60" s="127"/>
    </row>
    <row r="61" spans="1:35" ht="18.600000000000001" thickBot="1" x14ac:dyDescent="0.45">
      <c r="O61" s="235" t="s">
        <v>204</v>
      </c>
      <c r="P61" s="237">
        <f>10.54</f>
        <v>10.54</v>
      </c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G61" s="230"/>
      <c r="AH61" s="127"/>
      <c r="AI61" s="127"/>
    </row>
    <row r="62" spans="1:35" ht="16.8" thickBot="1" x14ac:dyDescent="0.35">
      <c r="O62" s="235" t="s">
        <v>205</v>
      </c>
      <c r="P62" s="238">
        <f>ABS(P60-P61)</f>
        <v>0.18029276325860444</v>
      </c>
      <c r="T62" t="s">
        <v>197</v>
      </c>
      <c r="U62" s="223">
        <f>U60*U45</f>
        <v>2.2077122892434597</v>
      </c>
      <c r="V62" s="231"/>
      <c r="W62" s="231">
        <f>W60*W45</f>
        <v>2130.3667289425343</v>
      </c>
      <c r="X62" s="231"/>
      <c r="Y62" s="231">
        <f>Y60*Y45</f>
        <v>8395.4392332619354</v>
      </c>
      <c r="Z62" s="231"/>
      <c r="AA62" s="231">
        <f>AA60*AA45</f>
        <v>19094.503589666685</v>
      </c>
      <c r="AB62" s="231"/>
      <c r="AC62" s="231">
        <f>AC60*AC45</f>
        <v>22021.883275083466</v>
      </c>
      <c r="AD62" s="231"/>
      <c r="AE62" s="231">
        <f>AE60*AE45</f>
        <v>52131.691491367696</v>
      </c>
      <c r="AG62" s="228">
        <f>U62+W62+Y62+AA62+AC62+AE62</f>
        <v>103776.09203061156</v>
      </c>
      <c r="AH62" s="127"/>
      <c r="AI62" s="127"/>
    </row>
    <row r="64" spans="1:35" ht="18" x14ac:dyDescent="0.35">
      <c r="A64" s="744" t="s">
        <v>209</v>
      </c>
      <c r="B64" s="744"/>
      <c r="C64" s="744"/>
      <c r="D64" s="744"/>
      <c r="E64" s="744"/>
      <c r="F64" s="744"/>
      <c r="G64" s="744"/>
      <c r="H64" s="744"/>
      <c r="I64" s="744"/>
      <c r="J64" s="744"/>
      <c r="K64" s="744"/>
      <c r="L64" s="744"/>
      <c r="M64" s="744"/>
      <c r="N64" s="744"/>
      <c r="O64" s="744"/>
      <c r="P64" s="744"/>
      <c r="Q64" s="744"/>
      <c r="S64" s="744" t="s">
        <v>210</v>
      </c>
      <c r="T64" s="744"/>
      <c r="U64" s="744"/>
      <c r="V64" s="744"/>
      <c r="W64" s="744"/>
      <c r="X64" s="744"/>
      <c r="Y64" s="744"/>
      <c r="Z64" s="744"/>
      <c r="AA64" s="744"/>
      <c r="AB64" s="744"/>
      <c r="AC64" s="744"/>
      <c r="AD64" s="744"/>
      <c r="AE64" s="744"/>
      <c r="AF64" s="744"/>
      <c r="AG64" s="744"/>
      <c r="AH64" s="744"/>
      <c r="AI64" s="744"/>
    </row>
    <row r="65" spans="1:35" x14ac:dyDescent="0.3">
      <c r="AG65" s="127"/>
      <c r="AH65" s="127"/>
      <c r="AI65" s="127"/>
    </row>
    <row r="66" spans="1:35" ht="16.2" x14ac:dyDescent="0.3">
      <c r="B66" s="231" t="s">
        <v>200</v>
      </c>
      <c r="C66">
        <v>0.15</v>
      </c>
      <c r="E66">
        <f>C66+5.2</f>
        <v>5.3500000000000005</v>
      </c>
      <c r="G66">
        <f>E66+3.9</f>
        <v>9.25</v>
      </c>
      <c r="I66">
        <f>G66+4.7</f>
        <v>13.95</v>
      </c>
      <c r="K66">
        <f>I66+5.2</f>
        <v>19.149999999999999</v>
      </c>
      <c r="M66" s="21">
        <f>K66+3.9</f>
        <v>23.049999999999997</v>
      </c>
      <c r="O66" s="231" t="s">
        <v>181</v>
      </c>
      <c r="P66" s="231" t="s">
        <v>191</v>
      </c>
      <c r="Q66" s="231" t="s">
        <v>192</v>
      </c>
      <c r="T66" s="231" t="s">
        <v>200</v>
      </c>
      <c r="U66">
        <v>0.15</v>
      </c>
      <c r="W66">
        <f>U66+5.2</f>
        <v>5.3500000000000005</v>
      </c>
      <c r="Y66">
        <f>W66+3.9</f>
        <v>9.25</v>
      </c>
      <c r="AA66">
        <f>Y66+4.7</f>
        <v>13.95</v>
      </c>
      <c r="AC66">
        <f>AA66+5.2</f>
        <v>19.149999999999999</v>
      </c>
      <c r="AE66" s="21">
        <f>AC66+3.9</f>
        <v>23.049999999999997</v>
      </c>
      <c r="AG66" s="127"/>
      <c r="AH66" s="127"/>
      <c r="AI66" s="127"/>
    </row>
    <row r="67" spans="1:35" x14ac:dyDescent="0.3">
      <c r="AG67" s="127"/>
      <c r="AH67" s="127"/>
      <c r="AI67" s="127"/>
    </row>
    <row r="68" spans="1:35" ht="15" thickBot="1" x14ac:dyDescent="0.35">
      <c r="A68" s="4" t="s">
        <v>199</v>
      </c>
      <c r="C68" s="23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S68" s="231" t="s">
        <v>199</v>
      </c>
      <c r="U68" s="231"/>
      <c r="V68" s="231"/>
      <c r="W68" s="231"/>
      <c r="X68" s="231"/>
      <c r="Y68" s="231"/>
      <c r="Z68" s="231"/>
      <c r="AA68" s="231"/>
      <c r="AB68" s="231"/>
      <c r="AC68" s="231"/>
      <c r="AD68" s="231"/>
      <c r="AE68" s="231"/>
      <c r="AG68" s="127"/>
      <c r="AH68" s="127"/>
      <c r="AI68" s="127"/>
    </row>
    <row r="69" spans="1:35" ht="15" thickBot="1" x14ac:dyDescent="0.35">
      <c r="A69" s="223">
        <f>A71+5.15</f>
        <v>20.799999999999997</v>
      </c>
      <c r="B69" s="21"/>
      <c r="C69" s="231"/>
      <c r="D69" s="231"/>
      <c r="E69" s="231"/>
      <c r="F69" s="231"/>
      <c r="G69" s="231"/>
      <c r="H69" s="231"/>
      <c r="I69" s="234">
        <f>'Ap. tipologi di pila '!$H$106</f>
        <v>20.956361969748052</v>
      </c>
      <c r="J69" s="231"/>
      <c r="K69" s="234">
        <f>'Ap. tipologi di pila '!$H$92</f>
        <v>34.585576692043098</v>
      </c>
      <c r="L69" s="231"/>
      <c r="M69" s="234">
        <f>'Ap. tipologi di pila '!$H$106</f>
        <v>20.956361969748052</v>
      </c>
      <c r="O69" s="223">
        <f>I69+K69+M69</f>
        <v>76.498300631539195</v>
      </c>
      <c r="P69" s="231">
        <f>O69*A69</f>
        <v>1591.164653136015</v>
      </c>
      <c r="Q69" s="223">
        <f>P69*A69</f>
        <v>33096.224785229104</v>
      </c>
      <c r="S69" s="21">
        <f>S71+5.15</f>
        <v>20.799999999999997</v>
      </c>
      <c r="T69" s="21"/>
      <c r="U69" s="231"/>
      <c r="V69" s="231"/>
      <c r="W69" s="231"/>
      <c r="X69" s="231"/>
      <c r="Y69" s="231"/>
      <c r="Z69" s="231"/>
      <c r="AA69" s="234">
        <f>'Ap. tipologi di pila '!$L$109</f>
        <v>10.250708630059968</v>
      </c>
      <c r="AB69" s="231"/>
      <c r="AC69" s="234">
        <f>'Ap. tipologi di pila '!$L$109</f>
        <v>10.250708630059968</v>
      </c>
      <c r="AD69" s="231"/>
      <c r="AE69" s="234">
        <f>'Ap. tipologi di pila '!$L$109</f>
        <v>10.250708630059968</v>
      </c>
      <c r="AG69" s="227"/>
      <c r="AH69" s="127"/>
      <c r="AI69" s="227"/>
    </row>
    <row r="70" spans="1:35" ht="15" thickBot="1" x14ac:dyDescent="0.35">
      <c r="A70" s="231"/>
      <c r="C70" s="231"/>
      <c r="D70" s="231"/>
      <c r="E70" s="231"/>
      <c r="F70" s="231"/>
      <c r="G70" s="231"/>
      <c r="H70" s="231"/>
      <c r="I70" s="231"/>
      <c r="J70" s="231"/>
      <c r="K70" s="231"/>
      <c r="L70" s="231"/>
      <c r="M70" s="231"/>
      <c r="O70" s="231"/>
      <c r="P70" s="231"/>
      <c r="Q70" s="223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G70" s="127"/>
      <c r="AH70" s="127"/>
      <c r="AI70" s="227"/>
    </row>
    <row r="71" spans="1:35" ht="15" thickBot="1" x14ac:dyDescent="0.35">
      <c r="A71" s="231">
        <f>A73+4.7</f>
        <v>15.649999999999999</v>
      </c>
      <c r="C71" s="234">
        <f>'Ap. tipologi di pila '!$H$106</f>
        <v>20.956361969748052</v>
      </c>
      <c r="D71" s="231"/>
      <c r="E71" s="234">
        <f>'Ap. tipologi di pila '!$H$92</f>
        <v>34.585576692043098</v>
      </c>
      <c r="F71" s="231"/>
      <c r="G71" s="234">
        <f>'Ap. tipologi di pila '!$H$92</f>
        <v>34.585576692043098</v>
      </c>
      <c r="H71" s="231"/>
      <c r="I71" s="234">
        <f>'Ap. tipologi di pila '!$H$125</f>
        <v>11.24276446915461</v>
      </c>
      <c r="J71" s="231"/>
      <c r="K71" s="234">
        <f>'Ap. tipologi di pila '!$H$125</f>
        <v>11.24276446915461</v>
      </c>
      <c r="L71" s="231"/>
      <c r="M71" s="234">
        <f>'Ap. tipologi di pila '!$H$109</f>
        <v>10.793456029188896</v>
      </c>
      <c r="O71" s="223">
        <f>C71+E71+G71+I71+K71+M71</f>
        <v>123.40650032133235</v>
      </c>
      <c r="P71" s="231">
        <f>O71*A71</f>
        <v>1931.3117300288511</v>
      </c>
      <c r="Q71" s="223">
        <f>P71*A71</f>
        <v>30225.028574951517</v>
      </c>
      <c r="S71">
        <f>S73+4.7</f>
        <v>15.649999999999999</v>
      </c>
      <c r="U71" s="234">
        <f>'Ap. tipologi di pila '!$L$109</f>
        <v>10.250708630059968</v>
      </c>
      <c r="V71" s="231"/>
      <c r="W71" s="234">
        <f>'Ap. tipologi di pila '!$L$109</f>
        <v>10.250708630059968</v>
      </c>
      <c r="X71" s="231"/>
      <c r="Y71" s="234">
        <f>'Ap. tipologi di pila '!$L$109</f>
        <v>10.250708630059968</v>
      </c>
      <c r="Z71" s="231"/>
      <c r="AA71" s="234">
        <f>'Ap. tipologi di pila '!$L$92</f>
        <v>31.881109093770394</v>
      </c>
      <c r="AB71" s="231"/>
      <c r="AC71" s="234">
        <f>'Ap. tipologi di pila '!L120</f>
        <v>21.695992771544809</v>
      </c>
      <c r="AD71" s="231"/>
      <c r="AE71" s="234">
        <f>'Ap. tipologi di pila '!$L$92</f>
        <v>31.881109093770394</v>
      </c>
      <c r="AG71" s="227"/>
      <c r="AH71" s="127"/>
      <c r="AI71" s="227"/>
    </row>
    <row r="72" spans="1:35" ht="15" thickBot="1" x14ac:dyDescent="0.35">
      <c r="A72" s="231"/>
      <c r="C72" s="231"/>
      <c r="D72" s="231"/>
      <c r="E72" s="231"/>
      <c r="F72" s="231"/>
      <c r="G72" s="231"/>
      <c r="H72" s="231"/>
      <c r="I72" s="231"/>
      <c r="J72" s="231"/>
      <c r="K72" s="231"/>
      <c r="L72" s="231"/>
      <c r="M72" s="231"/>
      <c r="O72" s="231"/>
      <c r="P72" s="231"/>
      <c r="Q72" s="223"/>
      <c r="U72" s="231"/>
      <c r="V72" s="231"/>
      <c r="W72" s="231"/>
      <c r="X72" s="231"/>
      <c r="Y72" s="231"/>
      <c r="Z72" s="231"/>
      <c r="AA72" s="231"/>
      <c r="AB72" s="231"/>
      <c r="AC72" s="231"/>
      <c r="AD72" s="231"/>
      <c r="AE72" s="231"/>
      <c r="AG72" s="127"/>
      <c r="AH72" s="127"/>
      <c r="AI72" s="227"/>
    </row>
    <row r="73" spans="1:35" ht="15" thickBot="1" x14ac:dyDescent="0.35">
      <c r="A73" s="231">
        <f>A75+5.6</f>
        <v>10.95</v>
      </c>
      <c r="C73" s="234">
        <f>'Ap. tipologi di pila '!$H$116</f>
        <v>2.4060896883217655</v>
      </c>
      <c r="D73" s="231"/>
      <c r="E73" s="234">
        <f>'Ap. tipologi di pila '!H102</f>
        <v>4.2494242262743152</v>
      </c>
      <c r="F73" s="231"/>
      <c r="G73" s="234">
        <f>'Ap. tipologi di pila '!$H$125</f>
        <v>11.24276446915461</v>
      </c>
      <c r="H73" s="231"/>
      <c r="I73" s="234">
        <f>'Ap. tipologi di pila '!H95</f>
        <v>13.54200450840777</v>
      </c>
      <c r="J73" s="231"/>
      <c r="K73" s="234">
        <f>'Ap. tipologi di pila '!$H$92</f>
        <v>34.585576692043098</v>
      </c>
      <c r="L73" s="231"/>
      <c r="M73" s="234">
        <f>'Ap. tipologi di pila '!$H$109</f>
        <v>10.793456029188896</v>
      </c>
      <c r="O73" s="223">
        <f>C73+E73+G73+I73+K73+M73</f>
        <v>76.819315613390444</v>
      </c>
      <c r="P73" s="231">
        <f>O73*A73</f>
        <v>841.17150596662532</v>
      </c>
      <c r="Q73" s="223">
        <f>P73*A73</f>
        <v>9210.8279903345465</v>
      </c>
      <c r="S73">
        <f>S75+5.6</f>
        <v>10.95</v>
      </c>
      <c r="U73" s="234">
        <f>'Ap. tipologi di pila '!$L$92</f>
        <v>31.881109093770394</v>
      </c>
      <c r="V73" s="231"/>
      <c r="W73" s="234">
        <f>'Ap. tipologi di pila '!$L$92</f>
        <v>31.881109093770394</v>
      </c>
      <c r="X73" s="231"/>
      <c r="Y73" s="234">
        <f>'Ap. tipologi di pila '!$L$92</f>
        <v>31.881109093770394</v>
      </c>
      <c r="Z73" s="231"/>
      <c r="AA73" s="234">
        <f>'Ap. tipologi di pila '!$L$92</f>
        <v>31.881109093770394</v>
      </c>
      <c r="AB73" s="231"/>
      <c r="AC73" s="234">
        <f>'Ap. tipologi di pila '!L125</f>
        <v>10.710233784164373</v>
      </c>
      <c r="AD73" s="231"/>
      <c r="AE73" s="234">
        <f>'Ap. tipologi di pila '!$L$92</f>
        <v>31.881109093770394</v>
      </c>
      <c r="AG73" s="227"/>
      <c r="AH73" s="127"/>
      <c r="AI73" s="227"/>
    </row>
    <row r="74" spans="1:35" ht="15" thickBot="1" x14ac:dyDescent="0.35">
      <c r="A74" s="231"/>
      <c r="C74" s="231"/>
      <c r="D74" s="231"/>
      <c r="E74" s="231"/>
      <c r="F74" s="231"/>
      <c r="G74" s="231"/>
      <c r="H74" s="231"/>
      <c r="I74" s="231"/>
      <c r="J74" s="231"/>
      <c r="K74" s="231"/>
      <c r="L74" s="231"/>
      <c r="M74" s="231"/>
      <c r="O74" s="231"/>
      <c r="P74" s="231"/>
      <c r="Q74" s="223"/>
      <c r="U74" s="231"/>
      <c r="V74" s="231"/>
      <c r="W74" s="231"/>
      <c r="X74" s="231"/>
      <c r="Y74" s="231"/>
      <c r="Z74" s="231"/>
      <c r="AA74" s="231"/>
      <c r="AB74" s="231"/>
      <c r="AC74" s="231"/>
      <c r="AD74" s="231"/>
      <c r="AE74" s="231"/>
      <c r="AG74" s="127"/>
      <c r="AI74" s="227"/>
    </row>
    <row r="75" spans="1:35" ht="16.2" thickBot="1" x14ac:dyDescent="0.4">
      <c r="A75" s="231">
        <f>A77+5.2</f>
        <v>5.3500000000000005</v>
      </c>
      <c r="C75" s="234">
        <f>'Ap. tipologi di pila '!$H$116</f>
        <v>2.4060896883217655</v>
      </c>
      <c r="D75" s="231"/>
      <c r="E75" s="234">
        <f>'Ap. tipologi di pila '!H99</f>
        <v>5.252225684905528</v>
      </c>
      <c r="F75" s="231"/>
      <c r="G75" s="234">
        <f>'Ap. tipologi di pila '!$H$125</f>
        <v>11.24276446915461</v>
      </c>
      <c r="H75" s="231"/>
      <c r="I75" s="234">
        <f>'Ap. tipologi di pila '!$H$92</f>
        <v>34.585576692043098</v>
      </c>
      <c r="J75" s="231"/>
      <c r="K75" s="234">
        <f>'Ap. tipologi di pila '!$H$92</f>
        <v>34.585576692043098</v>
      </c>
      <c r="L75" s="231"/>
      <c r="M75" s="234">
        <f>'Ap. tipologi di pila '!$H$106</f>
        <v>20.956361969748052</v>
      </c>
      <c r="O75" s="223">
        <f>C75+E75+G75+I75+K75+M75</f>
        <v>109.02859519621614</v>
      </c>
      <c r="P75" s="231">
        <f>O75*A75</f>
        <v>583.30298429975642</v>
      </c>
      <c r="Q75" s="223">
        <f>P75*A75</f>
        <v>3120.6709660036972</v>
      </c>
      <c r="S75">
        <f>S77+5.2</f>
        <v>5.3500000000000005</v>
      </c>
      <c r="U75" s="234">
        <f>'Ap. tipologi di pila '!$L$92</f>
        <v>31.881109093770394</v>
      </c>
      <c r="V75" s="231"/>
      <c r="W75" s="234">
        <f>'Ap. tipologi di pila '!L95</f>
        <v>13.106664601943791</v>
      </c>
      <c r="X75" s="231"/>
      <c r="Y75" s="234">
        <f>'Ap. tipologi di pila '!$L$92</f>
        <v>31.881109093770394</v>
      </c>
      <c r="Z75" s="231"/>
      <c r="AA75" s="234">
        <f>'Ap. tipologi di pila '!$L$109</f>
        <v>10.250708630059968</v>
      </c>
      <c r="AB75" s="231"/>
      <c r="AC75" s="234">
        <f>'Ap. tipologi di pila '!$L$109</f>
        <v>10.250708630059968</v>
      </c>
      <c r="AD75" s="231"/>
      <c r="AE75" s="234">
        <f>'Ap. tipologi di pila '!$L$109</f>
        <v>10.250708630059968</v>
      </c>
      <c r="AG75" s="225" t="s">
        <v>198</v>
      </c>
      <c r="AH75" s="226">
        <f>AG81/AG79</f>
        <v>11.578362711868751</v>
      </c>
      <c r="AI75" s="227"/>
    </row>
    <row r="76" spans="1:35" ht="18.600000000000001" thickBot="1" x14ac:dyDescent="0.45">
      <c r="A76" s="231"/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O76" s="231"/>
      <c r="P76" s="231"/>
      <c r="Q76" s="223"/>
      <c r="U76" s="231"/>
      <c r="V76" s="231"/>
      <c r="W76" s="231"/>
      <c r="X76" s="231"/>
      <c r="Y76" s="231"/>
      <c r="Z76" s="231"/>
      <c r="AA76" s="231"/>
      <c r="AB76" s="231"/>
      <c r="AC76" s="231"/>
      <c r="AD76" s="231"/>
      <c r="AE76" s="231"/>
      <c r="AG76" s="235" t="s">
        <v>206</v>
      </c>
      <c r="AH76" s="236">
        <f>11.4</f>
        <v>11.4</v>
      </c>
      <c r="AI76" s="227"/>
    </row>
    <row r="77" spans="1:35" ht="16.2" thickBot="1" x14ac:dyDescent="0.35">
      <c r="A77" s="231">
        <f>0.15</f>
        <v>0.15</v>
      </c>
      <c r="C77" s="234">
        <f>'Ap. tipologi di pila '!$H$106</f>
        <v>20.956361969748052</v>
      </c>
      <c r="D77" s="231"/>
      <c r="E77" s="234">
        <f>'Ap. tipologi di pila '!$H$92</f>
        <v>34.585576692043098</v>
      </c>
      <c r="F77" s="231"/>
      <c r="G77" s="234">
        <f>'Ap. tipologi di pila '!$H$106</f>
        <v>20.956361969748052</v>
      </c>
      <c r="H77" s="231"/>
      <c r="I77" s="231"/>
      <c r="J77" s="231"/>
      <c r="K77" s="231"/>
      <c r="L77" s="231"/>
      <c r="M77" s="231"/>
      <c r="O77" s="223">
        <f>C77+E77+G77</f>
        <v>76.498300631539195</v>
      </c>
      <c r="P77" s="231">
        <f>O77*A77</f>
        <v>11.47474509473088</v>
      </c>
      <c r="Q77" s="223">
        <f>P77*A77</f>
        <v>1.7212117642096318</v>
      </c>
      <c r="S77">
        <f>0.15</f>
        <v>0.15</v>
      </c>
      <c r="U77" s="234">
        <f>'Ap. tipologi di pila '!$L$109</f>
        <v>10.250708630059968</v>
      </c>
      <c r="V77" s="231"/>
      <c r="W77" s="234">
        <f>'Ap. tipologi di pila '!$L$109</f>
        <v>10.250708630059968</v>
      </c>
      <c r="X77" s="231"/>
      <c r="Y77" s="234">
        <f>'Ap. tipologi di pila '!$L$109</f>
        <v>10.250708630059968</v>
      </c>
      <c r="Z77" s="231"/>
      <c r="AA77" s="231"/>
      <c r="AB77" s="231"/>
      <c r="AC77" s="231"/>
      <c r="AD77" s="231"/>
      <c r="AE77" s="231"/>
      <c r="AG77" s="235" t="s">
        <v>205</v>
      </c>
      <c r="AH77" s="238">
        <f>ABS(AH75-AH76)</f>
        <v>0.17836271186875052</v>
      </c>
      <c r="AI77" s="227"/>
    </row>
    <row r="78" spans="1:35" x14ac:dyDescent="0.3">
      <c r="C78" s="231"/>
      <c r="D78" s="231"/>
      <c r="E78" s="231"/>
      <c r="F78" s="231"/>
      <c r="G78" s="231"/>
      <c r="H78" s="231"/>
      <c r="I78" s="231"/>
      <c r="J78" s="231"/>
      <c r="K78" s="231"/>
      <c r="L78" s="231"/>
      <c r="M78" s="231"/>
      <c r="O78" s="231"/>
      <c r="P78" s="231"/>
      <c r="Q78" s="231"/>
      <c r="U78" s="231"/>
      <c r="V78" s="231"/>
      <c r="W78" s="231"/>
      <c r="X78" s="231"/>
      <c r="Y78" s="231"/>
      <c r="Z78" s="231"/>
      <c r="AA78" s="231"/>
      <c r="AB78" s="231"/>
      <c r="AC78" s="231"/>
      <c r="AD78" s="231"/>
      <c r="AE78" s="231"/>
      <c r="AG78" s="127"/>
      <c r="AH78" s="127"/>
      <c r="AI78" s="127"/>
    </row>
    <row r="79" spans="1:35" x14ac:dyDescent="0.3">
      <c r="O79" s="232">
        <f>O69+O71+O73+O75+O77</f>
        <v>462.25101239401727</v>
      </c>
      <c r="P79" s="233">
        <f>P69+P71+P73+P75+P77</f>
        <v>4958.4256185259783</v>
      </c>
      <c r="Q79" s="233">
        <f>Q69+Q71+Q73+Q75+Q77</f>
        <v>75654.473528283066</v>
      </c>
      <c r="T79" t="s">
        <v>181</v>
      </c>
      <c r="U79" s="223">
        <f>U71+U73+U75+U77</f>
        <v>84.263635447660732</v>
      </c>
      <c r="V79" s="231"/>
      <c r="W79" s="223">
        <f>W71+W73+W75+W77</f>
        <v>65.489190955834118</v>
      </c>
      <c r="X79" s="231"/>
      <c r="Y79" s="223">
        <f>Y71+Y73+Y75+Y77</f>
        <v>84.263635447660732</v>
      </c>
      <c r="Z79" s="231"/>
      <c r="AA79" s="223">
        <f>AA69+AA71+AA73+AA75</f>
        <v>84.263635447660732</v>
      </c>
      <c r="AB79" s="231"/>
      <c r="AC79" s="223">
        <f>AC69+AC71+AC73+AC75</f>
        <v>52.907643815829118</v>
      </c>
      <c r="AD79" s="231"/>
      <c r="AE79" s="223">
        <f>AE69+AE71+AE73+AE75</f>
        <v>84.263635447660732</v>
      </c>
      <c r="AG79" s="228">
        <f>U79+W79+Y79+AA79+AC79+AE79</f>
        <v>455.45137656230611</v>
      </c>
      <c r="AH79" s="127"/>
      <c r="AI79" s="127"/>
    </row>
    <row r="80" spans="1:35" ht="15" thickBot="1" x14ac:dyDescent="0.35">
      <c r="U80" s="231"/>
      <c r="V80" s="231"/>
      <c r="W80" s="231"/>
      <c r="X80" s="231"/>
      <c r="Y80" s="231"/>
      <c r="Z80" s="231"/>
      <c r="AA80" s="231"/>
      <c r="AB80" s="231"/>
      <c r="AC80" s="231"/>
      <c r="AD80" s="231"/>
      <c r="AE80" s="231"/>
      <c r="AG80" s="230"/>
      <c r="AH80" s="127"/>
      <c r="AI80" s="127"/>
    </row>
    <row r="81" spans="1:35" ht="16.2" thickBot="1" x14ac:dyDescent="0.4">
      <c r="O81" s="225" t="s">
        <v>193</v>
      </c>
      <c r="P81" s="226">
        <f>P79/O79</f>
        <v>10.726694989473545</v>
      </c>
      <c r="T81" t="s">
        <v>196</v>
      </c>
      <c r="U81" s="223">
        <f>U79*U66</f>
        <v>12.639545317149109</v>
      </c>
      <c r="V81" s="231"/>
      <c r="W81" s="231">
        <f>W79*W66</f>
        <v>350.36717161371257</v>
      </c>
      <c r="X81" s="231"/>
      <c r="Y81" s="231">
        <f>Y79*Y66</f>
        <v>779.43862789086177</v>
      </c>
      <c r="Z81" s="231"/>
      <c r="AA81" s="231">
        <f>AA79*AA66</f>
        <v>1175.4777144948671</v>
      </c>
      <c r="AB81" s="231"/>
      <c r="AC81" s="231">
        <f>AC79*AC66</f>
        <v>1013.1813790731276</v>
      </c>
      <c r="AD81" s="231"/>
      <c r="AE81" s="231">
        <f>AE79*AE66</f>
        <v>1942.2767970685798</v>
      </c>
      <c r="AG81" s="228">
        <f>U81+W81+Y81+AA81+AC81+AE81</f>
        <v>5273.3812354582979</v>
      </c>
      <c r="AH81" s="228"/>
      <c r="AI81" s="127"/>
    </row>
    <row r="82" spans="1:35" ht="18.600000000000001" thickBot="1" x14ac:dyDescent="0.45">
      <c r="O82" s="235" t="s">
        <v>204</v>
      </c>
      <c r="P82" s="237">
        <f>10.54</f>
        <v>10.54</v>
      </c>
      <c r="U82" s="231"/>
      <c r="V82" s="231"/>
      <c r="W82" s="231"/>
      <c r="X82" s="231"/>
      <c r="Y82" s="231"/>
      <c r="Z82" s="231"/>
      <c r="AA82" s="231"/>
      <c r="AB82" s="231"/>
      <c r="AC82" s="231"/>
      <c r="AD82" s="231"/>
      <c r="AE82" s="231"/>
      <c r="AG82" s="230"/>
      <c r="AH82" s="127"/>
      <c r="AI82" s="127"/>
    </row>
    <row r="83" spans="1:35" ht="16.8" thickBot="1" x14ac:dyDescent="0.35">
      <c r="O83" s="235" t="s">
        <v>205</v>
      </c>
      <c r="P83" s="238">
        <f>ABS(P81-P82)</f>
        <v>0.1866949894735459</v>
      </c>
      <c r="T83" t="s">
        <v>197</v>
      </c>
      <c r="U83" s="223">
        <f>U81*U66</f>
        <v>1.8959317975723662</v>
      </c>
      <c r="V83" s="231"/>
      <c r="W83" s="231">
        <f>W81*W66</f>
        <v>1874.4643681333625</v>
      </c>
      <c r="X83" s="231"/>
      <c r="Y83" s="231">
        <f>Y81*Y66</f>
        <v>7209.8073079904716</v>
      </c>
      <c r="Z83" s="231"/>
      <c r="AA83" s="231">
        <f>AA81*AA66</f>
        <v>16397.914117203396</v>
      </c>
      <c r="AB83" s="231"/>
      <c r="AC83" s="231">
        <f>AC81*AC66</f>
        <v>19402.42340925039</v>
      </c>
      <c r="AD83" s="231"/>
      <c r="AE83" s="231">
        <f>AE81*AE66</f>
        <v>44769.480172430754</v>
      </c>
      <c r="AG83" s="228">
        <f>U83+W83+Y83+AA83+AC83+AE83</f>
        <v>89655.985306805946</v>
      </c>
      <c r="AH83" s="127"/>
      <c r="AI83" s="127"/>
    </row>
    <row r="85" spans="1:35" ht="18" x14ac:dyDescent="0.35">
      <c r="A85" s="744" t="s">
        <v>211</v>
      </c>
      <c r="B85" s="744"/>
      <c r="C85" s="744"/>
      <c r="D85" s="744"/>
      <c r="E85" s="744"/>
      <c r="F85" s="744"/>
      <c r="G85" s="744"/>
      <c r="H85" s="744"/>
      <c r="I85" s="744"/>
      <c r="J85" s="744"/>
      <c r="K85" s="744"/>
      <c r="L85" s="744"/>
      <c r="M85" s="744"/>
      <c r="N85" s="744"/>
      <c r="O85" s="744"/>
      <c r="P85" s="744"/>
      <c r="Q85" s="744"/>
      <c r="S85" s="744" t="s">
        <v>213</v>
      </c>
      <c r="T85" s="744"/>
      <c r="U85" s="744"/>
      <c r="V85" s="744"/>
      <c r="W85" s="744"/>
      <c r="X85" s="744"/>
      <c r="Y85" s="744"/>
      <c r="Z85" s="744"/>
      <c r="AA85" s="744"/>
      <c r="AB85" s="744"/>
      <c r="AC85" s="744"/>
      <c r="AD85" s="744"/>
      <c r="AE85" s="744"/>
      <c r="AF85" s="744"/>
      <c r="AG85" s="744"/>
      <c r="AH85" s="744"/>
      <c r="AI85" s="744"/>
    </row>
    <row r="86" spans="1:35" x14ac:dyDescent="0.3">
      <c r="AG86" s="127"/>
      <c r="AH86" s="127"/>
      <c r="AI86" s="127"/>
    </row>
    <row r="87" spans="1:35" ht="16.2" x14ac:dyDescent="0.3">
      <c r="B87" s="231" t="s">
        <v>200</v>
      </c>
      <c r="C87">
        <v>0.15</v>
      </c>
      <c r="E87">
        <f>C87+5.2</f>
        <v>5.3500000000000005</v>
      </c>
      <c r="G87">
        <f>E87+3.9</f>
        <v>9.25</v>
      </c>
      <c r="I87">
        <f>G87+4.7</f>
        <v>13.95</v>
      </c>
      <c r="K87">
        <f>I87+5.2</f>
        <v>19.149999999999999</v>
      </c>
      <c r="M87" s="21">
        <f>K87+3.9</f>
        <v>23.049999999999997</v>
      </c>
      <c r="O87" s="231" t="s">
        <v>181</v>
      </c>
      <c r="P87" s="231" t="s">
        <v>191</v>
      </c>
      <c r="Q87" s="231" t="s">
        <v>192</v>
      </c>
      <c r="T87" s="231" t="s">
        <v>200</v>
      </c>
      <c r="U87">
        <v>0.15</v>
      </c>
      <c r="W87">
        <f>U87+5.2</f>
        <v>5.3500000000000005</v>
      </c>
      <c r="Y87">
        <f>W87+3.9</f>
        <v>9.25</v>
      </c>
      <c r="AA87">
        <f>Y87+4.7</f>
        <v>13.95</v>
      </c>
      <c r="AC87">
        <f>AA87+5.2</f>
        <v>19.149999999999999</v>
      </c>
      <c r="AE87" s="21">
        <f>AC87+3.9</f>
        <v>23.049999999999997</v>
      </c>
      <c r="AG87" s="127"/>
      <c r="AH87" s="127"/>
      <c r="AI87" s="127"/>
    </row>
    <row r="88" spans="1:35" x14ac:dyDescent="0.3">
      <c r="AG88" s="127"/>
      <c r="AH88" s="127"/>
      <c r="AI88" s="127"/>
    </row>
    <row r="89" spans="1:35" ht="15" thickBot="1" x14ac:dyDescent="0.35">
      <c r="A89" s="4" t="s">
        <v>199</v>
      </c>
      <c r="C89" s="231"/>
      <c r="D89" s="231"/>
      <c r="E89" s="231"/>
      <c r="F89" s="231"/>
      <c r="G89" s="231"/>
      <c r="H89" s="231"/>
      <c r="I89" s="231"/>
      <c r="J89" s="231"/>
      <c r="K89" s="231"/>
      <c r="L89" s="231"/>
      <c r="M89" s="231"/>
      <c r="S89" s="231" t="s">
        <v>199</v>
      </c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G89" s="127"/>
      <c r="AH89" s="127"/>
      <c r="AI89" s="127"/>
    </row>
    <row r="90" spans="1:35" ht="15" thickBot="1" x14ac:dyDescent="0.35">
      <c r="A90" s="223">
        <f>A92+5.15</f>
        <v>20.799999999999997</v>
      </c>
      <c r="B90" s="21"/>
      <c r="C90" s="231"/>
      <c r="D90" s="231"/>
      <c r="E90" s="231"/>
      <c r="F90" s="231"/>
      <c r="G90" s="231"/>
      <c r="H90" s="231"/>
      <c r="I90" s="234">
        <f>'Ap. tipologi di pila '!$H$63</f>
        <v>12.657214359189272</v>
      </c>
      <c r="J90" s="231"/>
      <c r="K90" s="234">
        <f>'Ap. tipologi di pila '!$H$49</f>
        <v>21.03942597948155</v>
      </c>
      <c r="L90" s="231"/>
      <c r="M90" s="234">
        <f>'Ap. tipologi di pila '!$H$63</f>
        <v>12.657214359189272</v>
      </c>
      <c r="O90" s="223">
        <f>I90+K90+M90</f>
        <v>46.353854697860086</v>
      </c>
      <c r="P90" s="231">
        <f>O90*A90</f>
        <v>964.16017771548968</v>
      </c>
      <c r="Q90" s="223">
        <f>P90*A90</f>
        <v>20054.531696482183</v>
      </c>
      <c r="S90" s="21">
        <f>S92+5.15</f>
        <v>20.799999999999997</v>
      </c>
      <c r="T90" s="21"/>
      <c r="U90" s="231"/>
      <c r="V90" s="231"/>
      <c r="W90" s="231"/>
      <c r="X90" s="231"/>
      <c r="Y90" s="231"/>
      <c r="Z90" s="231"/>
      <c r="AA90" s="234">
        <f>'Ap. tipologi di pila '!$L$66</f>
        <v>7.3867521011205959</v>
      </c>
      <c r="AB90" s="231"/>
      <c r="AC90" s="234">
        <f>'Ap. tipologi di pila '!$L$66</f>
        <v>7.3867521011205959</v>
      </c>
      <c r="AD90" s="231"/>
      <c r="AE90" s="234">
        <f>'Ap. tipologi di pila '!$L$66</f>
        <v>7.3867521011205959</v>
      </c>
      <c r="AG90" s="227"/>
      <c r="AH90" s="127"/>
      <c r="AI90" s="227"/>
    </row>
    <row r="91" spans="1:35" ht="15" thickBot="1" x14ac:dyDescent="0.35">
      <c r="A91" s="231"/>
      <c r="C91" s="231"/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O91" s="231"/>
      <c r="P91" s="231"/>
      <c r="Q91" s="223"/>
      <c r="U91" s="231"/>
      <c r="V91" s="231"/>
      <c r="W91" s="231"/>
      <c r="X91" s="231"/>
      <c r="Y91" s="231"/>
      <c r="Z91" s="231"/>
      <c r="AA91" s="231"/>
      <c r="AB91" s="231"/>
      <c r="AC91" s="231"/>
      <c r="AD91" s="231"/>
      <c r="AE91" s="231"/>
      <c r="AG91" s="127"/>
      <c r="AH91" s="127"/>
      <c r="AI91" s="227"/>
    </row>
    <row r="92" spans="1:35" ht="15" thickBot="1" x14ac:dyDescent="0.35">
      <c r="A92" s="231">
        <f>A94+4.7</f>
        <v>15.649999999999999</v>
      </c>
      <c r="C92" s="234">
        <f>'Ap. tipologi di pila '!$H$63</f>
        <v>12.657214359189272</v>
      </c>
      <c r="D92" s="231"/>
      <c r="E92" s="234">
        <f>'Ap. tipologi di pila '!$H$49</f>
        <v>21.03942597948155</v>
      </c>
      <c r="F92" s="231"/>
      <c r="G92" s="234">
        <f>'Ap. tipologi di pila '!$H$49</f>
        <v>21.03942597948155</v>
      </c>
      <c r="H92" s="231"/>
      <c r="I92" s="234">
        <f>'Ap. tipologi di pila '!$H$82</f>
        <v>8.5233260149057735</v>
      </c>
      <c r="J92" s="231"/>
      <c r="K92" s="234">
        <f>'Ap. tipologi di pila '!H82</f>
        <v>8.5233260149057735</v>
      </c>
      <c r="L92" s="231"/>
      <c r="M92" s="234">
        <f>'Ap. tipologi di pila '!$H$66</f>
        <v>7.863722838950955</v>
      </c>
      <c r="O92" s="223">
        <f>C92+E92+G92+I92+K92+M92</f>
        <v>79.646441186914871</v>
      </c>
      <c r="P92" s="231">
        <f>O92*A92</f>
        <v>1246.4668045752176</v>
      </c>
      <c r="Q92" s="223">
        <f>P92*A92</f>
        <v>19507.205491602152</v>
      </c>
      <c r="S92">
        <f>S94+4.7</f>
        <v>15.649999999999999</v>
      </c>
      <c r="U92" s="234">
        <f>'Ap. tipologi di pila '!$L$66</f>
        <v>7.3867521011205959</v>
      </c>
      <c r="V92" s="231"/>
      <c r="W92" s="234">
        <f>'Ap. tipologi di pila '!$L$66</f>
        <v>7.3867521011205959</v>
      </c>
      <c r="X92" s="231"/>
      <c r="Y92" s="234">
        <f>'Ap. tipologi di pila '!$L$66</f>
        <v>7.3867521011205959</v>
      </c>
      <c r="Z92" s="231"/>
      <c r="AA92" s="234">
        <f>'Ap. tipologi di pila '!$L$49</f>
        <v>19.366541417301409</v>
      </c>
      <c r="AB92" s="231"/>
      <c r="AC92" s="234">
        <f>'Ap. tipologi di pila '!L77</f>
        <v>14.186537041944273</v>
      </c>
      <c r="AD92" s="231"/>
      <c r="AE92" s="234">
        <f>'Ap. tipologi di pila '!$L$49</f>
        <v>19.366541417301409</v>
      </c>
      <c r="AG92" s="227"/>
      <c r="AH92" s="127"/>
      <c r="AI92" s="227"/>
    </row>
    <row r="93" spans="1:35" ht="15" thickBot="1" x14ac:dyDescent="0.35">
      <c r="A93" s="231"/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O93" s="231"/>
      <c r="P93" s="231"/>
      <c r="Q93" s="223"/>
      <c r="U93" s="231"/>
      <c r="V93" s="231"/>
      <c r="W93" s="231"/>
      <c r="X93" s="231"/>
      <c r="Y93" s="231"/>
      <c r="Z93" s="231"/>
      <c r="AA93" s="231"/>
      <c r="AB93" s="231"/>
      <c r="AC93" s="231"/>
      <c r="AD93" s="231"/>
      <c r="AE93" s="231"/>
      <c r="AG93" s="127"/>
      <c r="AH93" s="127"/>
      <c r="AI93" s="227"/>
    </row>
    <row r="94" spans="1:35" ht="15" thickBot="1" x14ac:dyDescent="0.35">
      <c r="A94" s="231">
        <f>A96+5.6</f>
        <v>10.95</v>
      </c>
      <c r="C94" s="234">
        <f>'Ap. tipologi di pila '!$H$73</f>
        <v>2.3541297608503098</v>
      </c>
      <c r="D94" s="231"/>
      <c r="E94" s="234">
        <f>'Ap. tipologi di pila '!H59</f>
        <v>4.0899910233393175</v>
      </c>
      <c r="F94" s="231"/>
      <c r="G94" s="234">
        <f>'Ap. tipologi di pila '!$H$82</f>
        <v>8.5233260149057735</v>
      </c>
      <c r="H94" s="231"/>
      <c r="I94" s="234">
        <f>'Ap. tipologi di pila '!H52</f>
        <v>10.450443395336157</v>
      </c>
      <c r="J94" s="231"/>
      <c r="K94" s="234">
        <f>'Ap. tipologi di pila '!H49</f>
        <v>21.03942597948155</v>
      </c>
      <c r="L94" s="231"/>
      <c r="M94" s="234">
        <f>'Ap. tipologi di pila '!$H$66</f>
        <v>7.863722838950955</v>
      </c>
      <c r="O94" s="223">
        <f>C94+E94+G94+I94+K94+M94</f>
        <v>54.321039012864063</v>
      </c>
      <c r="P94" s="231">
        <f>O94*A94</f>
        <v>594.81537719086145</v>
      </c>
      <c r="Q94" s="223">
        <f>P94*A94</f>
        <v>6513.2283802399324</v>
      </c>
      <c r="S94">
        <f>S96+5.6</f>
        <v>10.95</v>
      </c>
      <c r="U94" s="234">
        <f>'Ap. tipologi di pila '!$L$49</f>
        <v>19.366541417301409</v>
      </c>
      <c r="V94" s="231"/>
      <c r="W94" s="234">
        <f>'Ap. tipologi di pila '!$L$49</f>
        <v>19.366541417301409</v>
      </c>
      <c r="X94" s="231"/>
      <c r="Y94" s="234">
        <f>'Ap. tipologi di pila '!$L$49</f>
        <v>19.366541417301409</v>
      </c>
      <c r="Z94" s="231"/>
      <c r="AA94" s="234">
        <f>'Ap. tipologi di pila '!$L$49</f>
        <v>19.366541417301409</v>
      </c>
      <c r="AB94" s="231"/>
      <c r="AC94" s="234">
        <f>'Ap. tipologi di pila '!L82</f>
        <v>8.048113043890444</v>
      </c>
      <c r="AD94" s="231"/>
      <c r="AE94" s="234">
        <f>'Ap. tipologi di pila '!$L$49</f>
        <v>19.366541417301409</v>
      </c>
      <c r="AG94" s="227"/>
      <c r="AH94" s="127"/>
      <c r="AI94" s="227"/>
    </row>
    <row r="95" spans="1:35" ht="15" thickBot="1" x14ac:dyDescent="0.35">
      <c r="A95" s="231"/>
      <c r="C95" s="231"/>
      <c r="D95" s="231"/>
      <c r="E95" s="231"/>
      <c r="F95" s="231"/>
      <c r="G95" s="231"/>
      <c r="H95" s="231"/>
      <c r="I95" s="231"/>
      <c r="J95" s="231"/>
      <c r="K95" s="231"/>
      <c r="L95" s="231"/>
      <c r="M95" s="231"/>
      <c r="O95" s="231"/>
      <c r="P95" s="231"/>
      <c r="Q95" s="223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G95" s="127"/>
      <c r="AI95" s="227"/>
    </row>
    <row r="96" spans="1:35" ht="16.2" thickBot="1" x14ac:dyDescent="0.4">
      <c r="A96" s="231">
        <f>A98+5.2</f>
        <v>5.3500000000000005</v>
      </c>
      <c r="C96" s="234">
        <f>'Ap. tipologi di pila '!$H$73</f>
        <v>2.3541297608503098</v>
      </c>
      <c r="D96" s="231"/>
      <c r="E96" s="234">
        <f>'Ap. tipologi di pila '!H56</f>
        <v>5.0932210156499513</v>
      </c>
      <c r="F96" s="231"/>
      <c r="G96" s="234">
        <f>'Ap. tipologi di pila '!$H$82</f>
        <v>8.5233260149057735</v>
      </c>
      <c r="H96" s="231"/>
      <c r="I96" s="234">
        <f>'Ap. tipologi di pila '!$H$49</f>
        <v>21.03942597948155</v>
      </c>
      <c r="J96" s="231"/>
      <c r="K96" s="234">
        <f>'Ap. tipologi di pila '!$H$49</f>
        <v>21.03942597948155</v>
      </c>
      <c r="L96" s="231"/>
      <c r="M96" s="234">
        <f>'Ap. tipologi di pila '!$H$63</f>
        <v>12.657214359189272</v>
      </c>
      <c r="O96" s="223">
        <f>C96+E96+G96+I96+K96+M96</f>
        <v>70.706743109558403</v>
      </c>
      <c r="P96" s="231">
        <f>O96*A96</f>
        <v>378.28107563613747</v>
      </c>
      <c r="Q96" s="223">
        <f>P96*A96</f>
        <v>2023.8037546533358</v>
      </c>
      <c r="S96">
        <f>S98+5.2</f>
        <v>5.3500000000000005</v>
      </c>
      <c r="U96" s="234">
        <f>'Ap. tipologi di pila '!$L$49</f>
        <v>19.366541417301409</v>
      </c>
      <c r="V96" s="231"/>
      <c r="W96" s="234">
        <f>'Ap. tipologi di pila '!L52</f>
        <v>10.020506791401912</v>
      </c>
      <c r="X96" s="231"/>
      <c r="Y96" s="234">
        <f>'Ap. tipologi di pila '!$L$49</f>
        <v>19.366541417301409</v>
      </c>
      <c r="Z96" s="231"/>
      <c r="AA96" s="234">
        <f>'Ap. tipologi di pila '!$L$66</f>
        <v>7.3867521011205959</v>
      </c>
      <c r="AB96" s="231"/>
      <c r="AC96" s="234">
        <f>'Ap. tipologi di pila '!$L$66</f>
        <v>7.3867521011205959</v>
      </c>
      <c r="AD96" s="231"/>
      <c r="AE96" s="234">
        <f>'Ap. tipologi di pila '!$L$66</f>
        <v>7.3867521011205959</v>
      </c>
      <c r="AG96" s="225" t="s">
        <v>198</v>
      </c>
      <c r="AH96" s="226">
        <f>AG102/AG100</f>
        <v>11.611545289294712</v>
      </c>
      <c r="AI96" s="227"/>
    </row>
    <row r="97" spans="1:35" ht="18.600000000000001" thickBot="1" x14ac:dyDescent="0.45">
      <c r="A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O97" s="231"/>
      <c r="P97" s="231"/>
      <c r="Q97" s="223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G97" s="235" t="s">
        <v>206</v>
      </c>
      <c r="AH97" s="236">
        <f>11.4</f>
        <v>11.4</v>
      </c>
      <c r="AI97" s="227"/>
    </row>
    <row r="98" spans="1:35" ht="16.2" thickBot="1" x14ac:dyDescent="0.35">
      <c r="A98" s="231">
        <f>0.15</f>
        <v>0.15</v>
      </c>
      <c r="C98" s="234">
        <f>'Ap. tipologi di pila '!$H$63</f>
        <v>12.657214359189272</v>
      </c>
      <c r="D98" s="231"/>
      <c r="E98" s="234">
        <f>'Ap. tipologi di pila '!$H$49</f>
        <v>21.03942597948155</v>
      </c>
      <c r="F98" s="231"/>
      <c r="G98" s="234">
        <f>'Ap. tipologi di pila '!$H$63</f>
        <v>12.657214359189272</v>
      </c>
      <c r="H98" s="231"/>
      <c r="I98" s="231"/>
      <c r="J98" s="231"/>
      <c r="K98" s="231"/>
      <c r="L98" s="231"/>
      <c r="M98" s="231"/>
      <c r="O98" s="223">
        <f>C98+E98+G98</f>
        <v>46.353854697860086</v>
      </c>
      <c r="P98" s="231">
        <f>O98*A98</f>
        <v>6.9530782046790129</v>
      </c>
      <c r="Q98" s="223">
        <f>P98*A98</f>
        <v>1.0429617307018519</v>
      </c>
      <c r="S98">
        <f>0.15</f>
        <v>0.15</v>
      </c>
      <c r="U98" s="234">
        <f>'Ap. tipologi di pila '!$L$66</f>
        <v>7.3867521011205959</v>
      </c>
      <c r="V98" s="231"/>
      <c r="W98" s="234">
        <f>'Ap. tipologi di pila '!$L$66</f>
        <v>7.3867521011205959</v>
      </c>
      <c r="X98" s="231"/>
      <c r="Y98" s="234">
        <f>'Ap. tipologi di pila '!$L$66</f>
        <v>7.3867521011205959</v>
      </c>
      <c r="Z98" s="231"/>
      <c r="AA98" s="231"/>
      <c r="AB98" s="231"/>
      <c r="AC98" s="231"/>
      <c r="AD98" s="231"/>
      <c r="AE98" s="231"/>
      <c r="AG98" s="235" t="s">
        <v>205</v>
      </c>
      <c r="AH98" s="238">
        <f>ABS(AH96-AH97)</f>
        <v>0.21154528929471184</v>
      </c>
      <c r="AI98" s="227"/>
    </row>
    <row r="99" spans="1:35" x14ac:dyDescent="0.3">
      <c r="C99" s="231"/>
      <c r="D99" s="231"/>
      <c r="E99" s="231"/>
      <c r="F99" s="231"/>
      <c r="G99" s="231"/>
      <c r="H99" s="231"/>
      <c r="I99" s="231"/>
      <c r="J99" s="231"/>
      <c r="K99" s="231"/>
      <c r="L99" s="231"/>
      <c r="M99" s="231"/>
      <c r="O99" s="231"/>
      <c r="P99" s="231"/>
      <c r="Q99" s="231"/>
      <c r="U99" s="231"/>
      <c r="V99" s="231"/>
      <c r="W99" s="231"/>
      <c r="X99" s="231"/>
      <c r="Y99" s="231"/>
      <c r="Z99" s="231"/>
      <c r="AA99" s="231"/>
      <c r="AB99" s="231"/>
      <c r="AC99" s="231"/>
      <c r="AD99" s="231"/>
      <c r="AE99" s="231"/>
      <c r="AG99" s="127"/>
      <c r="AH99" s="127"/>
      <c r="AI99" s="127"/>
    </row>
    <row r="100" spans="1:35" x14ac:dyDescent="0.3">
      <c r="O100" s="232">
        <f>O90+O92+O94+O96+O98</f>
        <v>297.38193270505752</v>
      </c>
      <c r="P100" s="233">
        <f>P90+P92+P94+P96+P98</f>
        <v>3190.6765133223848</v>
      </c>
      <c r="Q100" s="233">
        <f>Q90+Q92+Q94+Q96+Q98</f>
        <v>48099.812284708307</v>
      </c>
      <c r="T100" t="s">
        <v>181</v>
      </c>
      <c r="U100" s="223">
        <f>U92+U94+U96+U98</f>
        <v>53.50658703684401</v>
      </c>
      <c r="V100" s="231"/>
      <c r="W100" s="223">
        <f>W92+W94+W96+W98</f>
        <v>44.160552410944518</v>
      </c>
      <c r="X100" s="231"/>
      <c r="Y100" s="223">
        <f>Y92+Y94+Y96+Y98</f>
        <v>53.50658703684401</v>
      </c>
      <c r="Z100" s="231"/>
      <c r="AA100" s="223">
        <f>AA90+AA92+AA94+AA96</f>
        <v>53.50658703684401</v>
      </c>
      <c r="AB100" s="231"/>
      <c r="AC100" s="223">
        <f>AC90+AC92+AC94+AC96</f>
        <v>37.008154288075914</v>
      </c>
      <c r="AD100" s="231"/>
      <c r="AE100" s="223">
        <f>AE90+AE92+AE94+AE96</f>
        <v>53.50658703684401</v>
      </c>
      <c r="AG100" s="228">
        <f>U100+W100+Y100+AA100+AC100+AE100</f>
        <v>295.19505484639643</v>
      </c>
      <c r="AH100" s="127"/>
      <c r="AI100" s="127"/>
    </row>
    <row r="101" spans="1:35" ht="15" thickBot="1" x14ac:dyDescent="0.35">
      <c r="U101" s="231"/>
      <c r="V101" s="231"/>
      <c r="W101" s="231"/>
      <c r="X101" s="231"/>
      <c r="Y101" s="231"/>
      <c r="Z101" s="231"/>
      <c r="AA101" s="231"/>
      <c r="AB101" s="231"/>
      <c r="AC101" s="231"/>
      <c r="AD101" s="231"/>
      <c r="AE101" s="231"/>
      <c r="AG101" s="230"/>
      <c r="AH101" s="127"/>
      <c r="AI101" s="127"/>
    </row>
    <row r="102" spans="1:35" ht="16.2" thickBot="1" x14ac:dyDescent="0.4">
      <c r="O102" s="225" t="s">
        <v>193</v>
      </c>
      <c r="P102" s="226">
        <f>P100/O100</f>
        <v>10.729221120796494</v>
      </c>
      <c r="T102" t="s">
        <v>196</v>
      </c>
      <c r="U102" s="223">
        <f>U100*U87</f>
        <v>8.0259880555266019</v>
      </c>
      <c r="V102" s="231"/>
      <c r="W102" s="231">
        <f>W100*W87</f>
        <v>236.25895539855318</v>
      </c>
      <c r="X102" s="231"/>
      <c r="Y102" s="231">
        <f>Y100*Y87</f>
        <v>494.93593009080712</v>
      </c>
      <c r="Z102" s="231"/>
      <c r="AA102" s="231">
        <f>AA100*AA87</f>
        <v>746.41688916397391</v>
      </c>
      <c r="AB102" s="231"/>
      <c r="AC102" s="231">
        <f>AC100*AC87</f>
        <v>708.70615461665375</v>
      </c>
      <c r="AD102" s="231"/>
      <c r="AE102" s="231">
        <f>AE100*AE87</f>
        <v>1233.3268311992542</v>
      </c>
      <c r="AG102" s="228">
        <f>U102+W102+Y102+AA102+AC102+AE102</f>
        <v>3427.6707485247689</v>
      </c>
      <c r="AH102" s="228"/>
      <c r="AI102" s="127"/>
    </row>
    <row r="103" spans="1:35" ht="18.600000000000001" thickBot="1" x14ac:dyDescent="0.45">
      <c r="O103" s="235" t="s">
        <v>204</v>
      </c>
      <c r="P103" s="237">
        <f>10.54</f>
        <v>10.54</v>
      </c>
      <c r="U103" s="231"/>
      <c r="V103" s="231"/>
      <c r="W103" s="231"/>
      <c r="X103" s="231"/>
      <c r="Y103" s="231"/>
      <c r="Z103" s="231"/>
      <c r="AA103" s="231"/>
      <c r="AB103" s="231"/>
      <c r="AC103" s="231"/>
      <c r="AD103" s="231"/>
      <c r="AE103" s="231"/>
      <c r="AG103" s="230"/>
      <c r="AH103" s="127"/>
      <c r="AI103" s="127"/>
    </row>
    <row r="104" spans="1:35" ht="16.8" thickBot="1" x14ac:dyDescent="0.35">
      <c r="O104" s="235" t="s">
        <v>205</v>
      </c>
      <c r="P104" s="238">
        <f>ABS(P102-P103)</f>
        <v>0.18922112079649445</v>
      </c>
      <c r="T104" t="s">
        <v>197</v>
      </c>
      <c r="U104" s="223">
        <f>U102*U87</f>
        <v>1.2038982083289902</v>
      </c>
      <c r="V104" s="231"/>
      <c r="W104" s="231">
        <f>W102*W87</f>
        <v>1263.9854113822596</v>
      </c>
      <c r="X104" s="231"/>
      <c r="Y104" s="231">
        <f>Y102*Y87</f>
        <v>4578.157353339966</v>
      </c>
      <c r="Z104" s="231"/>
      <c r="AA104" s="231">
        <f>AA102*AA87</f>
        <v>10412.515603837435</v>
      </c>
      <c r="AB104" s="231"/>
      <c r="AC104" s="231">
        <f>AC102*AC87</f>
        <v>13571.722860908918</v>
      </c>
      <c r="AD104" s="231"/>
      <c r="AE104" s="231">
        <f>AE102*AE87</f>
        <v>28428.183459142805</v>
      </c>
      <c r="AG104" s="228">
        <f>U104+W104+Y104+AA104+AC104+AE104</f>
        <v>58255.768586819715</v>
      </c>
      <c r="AH104" s="127"/>
      <c r="AI104" s="127"/>
    </row>
    <row r="106" spans="1:35" ht="18" x14ac:dyDescent="0.35">
      <c r="A106" s="744" t="s">
        <v>214</v>
      </c>
      <c r="B106" s="744"/>
      <c r="C106" s="744"/>
      <c r="D106" s="744"/>
      <c r="E106" s="744"/>
      <c r="F106" s="744"/>
      <c r="G106" s="744"/>
      <c r="H106" s="744"/>
      <c r="I106" s="744"/>
      <c r="J106" s="744"/>
      <c r="K106" s="744"/>
      <c r="L106" s="744"/>
      <c r="M106" s="744"/>
      <c r="N106" s="744"/>
      <c r="O106" s="744"/>
      <c r="P106" s="744"/>
      <c r="Q106" s="744"/>
      <c r="S106" s="744" t="s">
        <v>212</v>
      </c>
      <c r="T106" s="744"/>
      <c r="U106" s="744"/>
      <c r="V106" s="744"/>
      <c r="W106" s="744"/>
      <c r="X106" s="744"/>
      <c r="Y106" s="744"/>
      <c r="Z106" s="744"/>
      <c r="AA106" s="744"/>
      <c r="AB106" s="744"/>
      <c r="AC106" s="744"/>
      <c r="AD106" s="744"/>
      <c r="AE106" s="744"/>
      <c r="AF106" s="744"/>
      <c r="AG106" s="744"/>
      <c r="AH106" s="744"/>
      <c r="AI106" s="744"/>
    </row>
    <row r="107" spans="1:35" x14ac:dyDescent="0.3">
      <c r="AG107" s="127"/>
      <c r="AH107" s="127"/>
      <c r="AI107" s="127"/>
    </row>
    <row r="108" spans="1:35" ht="16.2" x14ac:dyDescent="0.3">
      <c r="B108" s="231" t="s">
        <v>200</v>
      </c>
      <c r="C108">
        <v>0.15</v>
      </c>
      <c r="E108">
        <f>C108+5.2</f>
        <v>5.3500000000000005</v>
      </c>
      <c r="G108">
        <f>E108+3.9</f>
        <v>9.25</v>
      </c>
      <c r="I108">
        <f>G108+4.7</f>
        <v>13.95</v>
      </c>
      <c r="K108">
        <f>I108+5.2</f>
        <v>19.149999999999999</v>
      </c>
      <c r="M108" s="21">
        <f>K108+3.9</f>
        <v>23.049999999999997</v>
      </c>
      <c r="O108" s="231" t="s">
        <v>181</v>
      </c>
      <c r="P108" s="231" t="s">
        <v>191</v>
      </c>
      <c r="Q108" s="231" t="s">
        <v>192</v>
      </c>
      <c r="T108" s="231" t="s">
        <v>200</v>
      </c>
      <c r="U108">
        <v>0.15</v>
      </c>
      <c r="W108">
        <f>U108+5.2</f>
        <v>5.3500000000000005</v>
      </c>
      <c r="Y108">
        <f>W108+3.9</f>
        <v>9.25</v>
      </c>
      <c r="AA108">
        <f>Y108+4.7</f>
        <v>13.95</v>
      </c>
      <c r="AC108">
        <f>AA108+5.2</f>
        <v>19.149999999999999</v>
      </c>
      <c r="AE108" s="21">
        <f>AC108+3.9</f>
        <v>23.049999999999997</v>
      </c>
      <c r="AG108" s="127"/>
      <c r="AH108" s="127"/>
      <c r="AI108" s="127"/>
    </row>
    <row r="109" spans="1:35" x14ac:dyDescent="0.3">
      <c r="AG109" s="127"/>
      <c r="AH109" s="127"/>
      <c r="AI109" s="127"/>
    </row>
    <row r="110" spans="1:35" ht="15" thickBot="1" x14ac:dyDescent="0.35">
      <c r="A110" s="4" t="s">
        <v>199</v>
      </c>
      <c r="C110" s="231"/>
      <c r="D110" s="231"/>
      <c r="E110" s="231"/>
      <c r="F110" s="231"/>
      <c r="G110" s="231"/>
      <c r="H110" s="231"/>
      <c r="I110" s="231"/>
      <c r="J110" s="231"/>
      <c r="K110" s="231"/>
      <c r="L110" s="231"/>
      <c r="M110" s="231"/>
      <c r="S110" s="231" t="s">
        <v>199</v>
      </c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  <c r="AE110" s="231"/>
      <c r="AG110" s="127"/>
      <c r="AH110" s="127"/>
      <c r="AI110" s="127"/>
    </row>
    <row r="111" spans="1:35" ht="15" thickBot="1" x14ac:dyDescent="0.35">
      <c r="A111" s="223">
        <f>A113+5.15</f>
        <v>20.799999999999997</v>
      </c>
      <c r="B111" s="21"/>
      <c r="C111" s="231"/>
      <c r="D111" s="231"/>
      <c r="E111" s="231"/>
      <c r="F111" s="231"/>
      <c r="G111" s="231"/>
      <c r="H111" s="231"/>
      <c r="I111" s="234">
        <f>'Ap. tipologi di pila '!$H$20</f>
        <v>10.43774806782004</v>
      </c>
      <c r="J111" s="231"/>
      <c r="K111" s="234">
        <f>'Ap. tipologi di pila '!$H$6</f>
        <v>17.879586816518369</v>
      </c>
      <c r="L111" s="231"/>
      <c r="M111" s="234">
        <f>'Ap. tipologi di pila '!$H$20</f>
        <v>10.43774806782004</v>
      </c>
      <c r="O111" s="223">
        <f>I111+K111+M111</f>
        <v>38.755082952158446</v>
      </c>
      <c r="P111" s="231">
        <f>O111*A111</f>
        <v>806.10572540489557</v>
      </c>
      <c r="Q111" s="223">
        <f>P111*A111</f>
        <v>16766.999088421824</v>
      </c>
      <c r="S111" s="21">
        <f>S113+5.15</f>
        <v>20.799999999999997</v>
      </c>
      <c r="T111" s="21"/>
      <c r="U111" s="231"/>
      <c r="V111" s="231"/>
      <c r="W111" s="231"/>
      <c r="X111" s="231"/>
      <c r="Y111" s="231"/>
      <c r="Z111" s="231"/>
      <c r="AA111" s="234">
        <f>'Ap. tipologi di pila '!$L$23</f>
        <v>6.4780033765339002</v>
      </c>
      <c r="AB111" s="231"/>
      <c r="AC111" s="234">
        <f>'Ap. tipologi di pila '!$L$23</f>
        <v>6.4780033765339002</v>
      </c>
      <c r="AD111" s="231"/>
      <c r="AE111" s="234">
        <f>'Ap. tipologi di pila '!$L$23</f>
        <v>6.4780033765339002</v>
      </c>
      <c r="AG111" s="227"/>
      <c r="AH111" s="127"/>
      <c r="AI111" s="227"/>
    </row>
    <row r="112" spans="1:35" ht="15" thickBot="1" x14ac:dyDescent="0.35">
      <c r="A112" s="231"/>
      <c r="C112" s="231"/>
      <c r="D112" s="231"/>
      <c r="E112" s="231"/>
      <c r="F112" s="231"/>
      <c r="G112" s="231"/>
      <c r="H112" s="231"/>
      <c r="I112" s="231"/>
      <c r="J112" s="231"/>
      <c r="K112" s="231"/>
      <c r="L112" s="231"/>
      <c r="M112" s="231"/>
      <c r="O112" s="231"/>
      <c r="P112" s="231"/>
      <c r="Q112" s="223"/>
      <c r="U112" s="231"/>
      <c r="V112" s="231"/>
      <c r="W112" s="231"/>
      <c r="X112" s="231"/>
      <c r="Y112" s="231"/>
      <c r="Z112" s="231"/>
      <c r="AA112" s="231"/>
      <c r="AB112" s="231"/>
      <c r="AC112" s="231"/>
      <c r="AD112" s="231"/>
      <c r="AE112" s="231"/>
      <c r="AG112" s="127"/>
      <c r="AH112" s="127"/>
      <c r="AI112" s="227"/>
    </row>
    <row r="113" spans="1:35" ht="15" thickBot="1" x14ac:dyDescent="0.35">
      <c r="A113" s="231">
        <f>A115+4.7</f>
        <v>15.649999999999999</v>
      </c>
      <c r="C113" s="234">
        <f>'Ap. tipologi di pila '!$H$20</f>
        <v>10.43774806782004</v>
      </c>
      <c r="D113" s="231"/>
      <c r="E113" s="234">
        <f>'Ap. tipologi di pila '!$H$6</f>
        <v>17.879586816518369</v>
      </c>
      <c r="F113" s="231"/>
      <c r="G113" s="234">
        <f>'Ap. tipologi di pila '!$H$6</f>
        <v>17.879586816518369</v>
      </c>
      <c r="H113" s="231"/>
      <c r="I113" s="234">
        <f>'Ap. tipologi di pila '!$H$39</f>
        <v>7.7207570028010482</v>
      </c>
      <c r="J113" s="231"/>
      <c r="K113" s="234">
        <f>'Ap. tipologi di pila '!$H$39</f>
        <v>7.7207570028010482</v>
      </c>
      <c r="L113" s="231"/>
      <c r="M113" s="234">
        <f>'Ap. tipologi di pila '!$H$23</f>
        <v>6.9460839059712294</v>
      </c>
      <c r="O113" s="223">
        <f>C113+E113+G113+I113+K113+M113</f>
        <v>68.584519612430114</v>
      </c>
      <c r="P113" s="231">
        <f>O113*A113</f>
        <v>1073.3477319345311</v>
      </c>
      <c r="Q113" s="223">
        <f>P113*A113</f>
        <v>16797.892004775411</v>
      </c>
      <c r="S113">
        <f>S115+4.7</f>
        <v>15.649999999999999</v>
      </c>
      <c r="U113" s="234">
        <f>'Ap. tipologi di pila '!$L$23</f>
        <v>6.4780033765339002</v>
      </c>
      <c r="V113" s="231"/>
      <c r="W113" s="234">
        <f>'Ap. tipologi di pila '!$L$23</f>
        <v>6.4780033765339002</v>
      </c>
      <c r="X113" s="231"/>
      <c r="Y113" s="234">
        <f>'Ap. tipologi di pila '!$L$23</f>
        <v>6.4780033765339002</v>
      </c>
      <c r="Z113" s="231"/>
      <c r="AA113" s="234">
        <f>'Ap. tipologi di pila '!$L$6</f>
        <v>16.358319450827203</v>
      </c>
      <c r="AB113" s="231"/>
      <c r="AC113" s="234">
        <f>'Ap. tipologi di pila '!L34</f>
        <v>12.206209692804494</v>
      </c>
      <c r="AD113" s="231"/>
      <c r="AE113" s="234">
        <f>'Ap. tipologi di pila '!$L$6</f>
        <v>16.358319450827203</v>
      </c>
      <c r="AG113" s="227"/>
      <c r="AH113" s="127"/>
      <c r="AI113" s="227"/>
    </row>
    <row r="114" spans="1:35" ht="15" thickBot="1" x14ac:dyDescent="0.35">
      <c r="A114" s="231"/>
      <c r="C114" s="231"/>
      <c r="D114" s="231"/>
      <c r="E114" s="231"/>
      <c r="F114" s="231"/>
      <c r="G114" s="231"/>
      <c r="H114" s="231"/>
      <c r="I114" s="231"/>
      <c r="J114" s="231"/>
      <c r="K114" s="231"/>
      <c r="L114" s="231"/>
      <c r="M114" s="231"/>
      <c r="O114" s="231"/>
      <c r="P114" s="231"/>
      <c r="Q114" s="223"/>
      <c r="U114" s="231"/>
      <c r="V114" s="231"/>
      <c r="W114" s="231"/>
      <c r="X114" s="231"/>
      <c r="Y114" s="231"/>
      <c r="Z114" s="231"/>
      <c r="AA114" s="231"/>
      <c r="AB114" s="231"/>
      <c r="AC114" s="231"/>
      <c r="AD114" s="231"/>
      <c r="AE114" s="231"/>
      <c r="AG114" s="127"/>
      <c r="AH114" s="127"/>
      <c r="AI114" s="227"/>
    </row>
    <row r="115" spans="1:35" ht="15" thickBot="1" x14ac:dyDescent="0.35">
      <c r="A115" s="231">
        <f>A117+5.6</f>
        <v>10.95</v>
      </c>
      <c r="C115" s="234">
        <f>'Ap. tipologi di pila '!$H$30</f>
        <v>2.3541297608503098</v>
      </c>
      <c r="D115" s="231"/>
      <c r="E115" s="234">
        <f>'Ap. tipologi di pila '!H16</f>
        <v>4.0899910233393175</v>
      </c>
      <c r="F115" s="231"/>
      <c r="G115" s="234">
        <f>'Ap. tipologi di pila '!$H$39</f>
        <v>7.7207570028010482</v>
      </c>
      <c r="H115" s="231"/>
      <c r="I115" s="234">
        <f>'Ap. tipologi di pila '!H9</f>
        <v>9.6071067965376287</v>
      </c>
      <c r="J115" s="231"/>
      <c r="K115" s="234">
        <f>'Ap. tipologi di pila '!$H$6</f>
        <v>17.879586816518369</v>
      </c>
      <c r="L115" s="231"/>
      <c r="M115" s="234">
        <f>'Ap. tipologi di pila '!$H$23</f>
        <v>6.9460839059712294</v>
      </c>
      <c r="O115" s="223">
        <f>C115+E115+G115+I115+K115+M115</f>
        <v>48.597655306017906</v>
      </c>
      <c r="P115" s="231">
        <f>O115*A115</f>
        <v>532.14432560089608</v>
      </c>
      <c r="Q115" s="223">
        <f>P115*A115</f>
        <v>5826.9803653298113</v>
      </c>
      <c r="S115">
        <f>S117+5.6</f>
        <v>10.95</v>
      </c>
      <c r="U115" s="234">
        <f>'Ap. tipologi di pila '!$L$6</f>
        <v>16.358319450827203</v>
      </c>
      <c r="V115" s="231"/>
      <c r="W115" s="234">
        <f>'Ap. tipologi di pila '!$L$6</f>
        <v>16.358319450827203</v>
      </c>
      <c r="X115" s="231"/>
      <c r="Y115" s="234">
        <f>'Ap. tipologi di pila '!$L$6</f>
        <v>16.358319450827203</v>
      </c>
      <c r="Z115" s="231"/>
      <c r="AA115" s="234">
        <f>'Ap. tipologi di pila '!$L$6</f>
        <v>16.358319450827203</v>
      </c>
      <c r="AB115" s="231"/>
      <c r="AC115" s="234">
        <f>'Ap. tipologi di pila '!L39</f>
        <v>7.2443093959080569</v>
      </c>
      <c r="AD115" s="231"/>
      <c r="AE115" s="234">
        <f>'Ap. tipologi di pila '!$L$6</f>
        <v>16.358319450827203</v>
      </c>
      <c r="AG115" s="227"/>
      <c r="AH115" s="127"/>
      <c r="AI115" s="227"/>
    </row>
    <row r="116" spans="1:35" ht="15" thickBot="1" x14ac:dyDescent="0.35">
      <c r="A116" s="231"/>
      <c r="C116" s="231"/>
      <c r="D116" s="231"/>
      <c r="E116" s="231"/>
      <c r="F116" s="231"/>
      <c r="G116" s="231"/>
      <c r="H116" s="231"/>
      <c r="I116" s="231"/>
      <c r="J116" s="231"/>
      <c r="K116" s="231"/>
      <c r="L116" s="231"/>
      <c r="M116" s="231"/>
      <c r="O116" s="231"/>
      <c r="P116" s="231"/>
      <c r="Q116" s="223"/>
      <c r="U116" s="231"/>
      <c r="V116" s="231"/>
      <c r="W116" s="231"/>
      <c r="X116" s="231"/>
      <c r="Y116" s="231"/>
      <c r="Z116" s="231"/>
      <c r="AA116" s="231"/>
      <c r="AB116" s="231"/>
      <c r="AC116" s="231"/>
      <c r="AD116" s="231"/>
      <c r="AE116" s="231"/>
      <c r="AG116" s="127"/>
      <c r="AI116" s="227"/>
    </row>
    <row r="117" spans="1:35" ht="16.2" thickBot="1" x14ac:dyDescent="0.4">
      <c r="A117" s="231">
        <f>A119+5.2</f>
        <v>5.3500000000000005</v>
      </c>
      <c r="C117" s="234">
        <f>'Ap. tipologi di pila '!$H$30</f>
        <v>2.3541297608503098</v>
      </c>
      <c r="D117" s="231"/>
      <c r="E117" s="234">
        <f>'Ap. tipologi di pila '!H13</f>
        <v>5.0932210156499513</v>
      </c>
      <c r="F117" s="231"/>
      <c r="G117" s="234">
        <f>'Ap. tipologi di pila '!$H$39</f>
        <v>7.7207570028010482</v>
      </c>
      <c r="H117" s="231"/>
      <c r="I117" s="234">
        <f>'Ap. tipologi di pila '!$H$6</f>
        <v>17.879586816518369</v>
      </c>
      <c r="J117" s="231"/>
      <c r="K117" s="234">
        <f>'Ap. tipologi di pila '!$H$6</f>
        <v>17.879586816518369</v>
      </c>
      <c r="L117" s="231"/>
      <c r="M117" s="234">
        <f>'Ap. tipologi di pila '!$H$20</f>
        <v>10.43774806782004</v>
      </c>
      <c r="O117" s="223">
        <f>C117+E117+G117+I117+K117+M117</f>
        <v>61.365029480158086</v>
      </c>
      <c r="P117" s="231">
        <f>O117*A117</f>
        <v>328.3029077188458</v>
      </c>
      <c r="Q117" s="223">
        <f>P117*A117</f>
        <v>1756.4205562958252</v>
      </c>
      <c r="S117">
        <f>S119+5.2</f>
        <v>5.3500000000000005</v>
      </c>
      <c r="U117" s="234">
        <f>'Ap. tipologi di pila '!$L$6</f>
        <v>16.358319450827203</v>
      </c>
      <c r="V117" s="231"/>
      <c r="W117" s="234">
        <f>'Ap. tipologi di pila '!L9</f>
        <v>9.149894310920974</v>
      </c>
      <c r="X117" s="231"/>
      <c r="Y117" s="234">
        <f>'Ap. tipologi di pila '!$L$6</f>
        <v>16.358319450827203</v>
      </c>
      <c r="Z117" s="231"/>
      <c r="AA117" s="234">
        <f>'Ap. tipologi di pila '!$L$23</f>
        <v>6.4780033765339002</v>
      </c>
      <c r="AB117" s="231"/>
      <c r="AC117" s="234">
        <f>'Ap. tipologi di pila '!$L$23</f>
        <v>6.4780033765339002</v>
      </c>
      <c r="AD117" s="231"/>
      <c r="AE117" s="234">
        <f>'Ap. tipologi di pila '!$L$23</f>
        <v>6.4780033765339002</v>
      </c>
      <c r="AG117" s="225" t="s">
        <v>198</v>
      </c>
      <c r="AH117" s="226">
        <f>AG123/AG121</f>
        <v>11.616831793338068</v>
      </c>
      <c r="AI117" s="227"/>
    </row>
    <row r="118" spans="1:35" ht="18.600000000000001" thickBot="1" x14ac:dyDescent="0.45">
      <c r="A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O118" s="231"/>
      <c r="P118" s="231"/>
      <c r="Q118" s="223"/>
      <c r="U118" s="231"/>
      <c r="V118" s="231"/>
      <c r="W118" s="231"/>
      <c r="X118" s="231"/>
      <c r="Y118" s="231"/>
      <c r="Z118" s="231"/>
      <c r="AA118" s="231"/>
      <c r="AB118" s="231"/>
      <c r="AC118" s="231"/>
      <c r="AD118" s="231"/>
      <c r="AE118" s="231"/>
      <c r="AG118" s="235" t="s">
        <v>206</v>
      </c>
      <c r="AH118" s="236">
        <f>11.6</f>
        <v>11.6</v>
      </c>
      <c r="AI118" s="227"/>
    </row>
    <row r="119" spans="1:35" ht="16.2" thickBot="1" x14ac:dyDescent="0.35">
      <c r="A119" s="231">
        <f>0.15</f>
        <v>0.15</v>
      </c>
      <c r="C119" s="234">
        <f>'Ap. tipologi di pila '!$H$20</f>
        <v>10.43774806782004</v>
      </c>
      <c r="D119" s="231"/>
      <c r="E119" s="234">
        <f>'Ap. tipologi di pila '!$H$6</f>
        <v>17.879586816518369</v>
      </c>
      <c r="F119" s="231"/>
      <c r="G119" s="234">
        <f>'Ap. tipologi di pila '!$H$20</f>
        <v>10.43774806782004</v>
      </c>
      <c r="H119" s="231"/>
      <c r="I119" s="231"/>
      <c r="J119" s="231"/>
      <c r="K119" s="231"/>
      <c r="L119" s="231"/>
      <c r="M119" s="231"/>
      <c r="O119" s="223">
        <f>C119+E119+G119</f>
        <v>38.755082952158446</v>
      </c>
      <c r="P119" s="231">
        <f>O119*A119</f>
        <v>5.8132624428237669</v>
      </c>
      <c r="Q119" s="223">
        <f>P119*A119</f>
        <v>0.87198936642356506</v>
      </c>
      <c r="S119">
        <f>0.15</f>
        <v>0.15</v>
      </c>
      <c r="U119" s="234">
        <f>'Ap. tipologi di pila '!$L$23</f>
        <v>6.4780033765339002</v>
      </c>
      <c r="V119" s="231"/>
      <c r="W119" s="234">
        <f>'Ap. tipologi di pila '!$L$23</f>
        <v>6.4780033765339002</v>
      </c>
      <c r="X119" s="231"/>
      <c r="Y119" s="234">
        <f>'Ap. tipologi di pila '!$L$23</f>
        <v>6.4780033765339002</v>
      </c>
      <c r="Z119" s="231"/>
      <c r="AA119" s="231"/>
      <c r="AB119" s="231"/>
      <c r="AC119" s="231"/>
      <c r="AD119" s="231"/>
      <c r="AE119" s="231"/>
      <c r="AG119" s="235" t="s">
        <v>205</v>
      </c>
      <c r="AH119" s="238">
        <f>ABS(AH117-AH118)</f>
        <v>1.6831793338068834E-2</v>
      </c>
      <c r="AI119" s="227"/>
    </row>
    <row r="120" spans="1:35" x14ac:dyDescent="0.3">
      <c r="C120" s="231"/>
      <c r="D120" s="231"/>
      <c r="E120" s="231"/>
      <c r="F120" s="231"/>
      <c r="G120" s="231"/>
      <c r="H120" s="231"/>
      <c r="I120" s="231"/>
      <c r="J120" s="231"/>
      <c r="K120" s="231"/>
      <c r="L120" s="231"/>
      <c r="M120" s="231"/>
      <c r="O120" s="231"/>
      <c r="P120" s="231"/>
      <c r="Q120" s="231"/>
      <c r="U120" s="231"/>
      <c r="V120" s="231"/>
      <c r="W120" s="231"/>
      <c r="X120" s="231"/>
      <c r="Y120" s="231"/>
      <c r="Z120" s="231"/>
      <c r="AA120" s="231"/>
      <c r="AB120" s="231"/>
      <c r="AC120" s="231"/>
      <c r="AD120" s="231"/>
      <c r="AE120" s="231"/>
      <c r="AG120" s="127"/>
      <c r="AH120" s="127"/>
      <c r="AI120" s="127"/>
    </row>
    <row r="121" spans="1:35" x14ac:dyDescent="0.3">
      <c r="O121" s="232">
        <f>O111+O113+O115+O117+O119</f>
        <v>256.057370302923</v>
      </c>
      <c r="P121" s="233">
        <f>P111+P113+P115+P117+P119</f>
        <v>2745.713953101992</v>
      </c>
      <c r="Q121" s="233">
        <f>Q111+Q113+Q115+Q117+Q119</f>
        <v>41149.164004189297</v>
      </c>
      <c r="T121" t="s">
        <v>181</v>
      </c>
      <c r="U121" s="223">
        <f>U113+U115+U117+U119</f>
        <v>45.672645654722203</v>
      </c>
      <c r="V121" s="231"/>
      <c r="W121" s="223">
        <f>W113+W115+W117+W119</f>
        <v>38.464220514815977</v>
      </c>
      <c r="X121" s="231"/>
      <c r="Y121" s="223">
        <f>Y113+Y115+Y117+Y119</f>
        <v>45.672645654722203</v>
      </c>
      <c r="Z121" s="231"/>
      <c r="AA121" s="223">
        <f>AA111+AA113+AA115+AA117</f>
        <v>45.672645654722203</v>
      </c>
      <c r="AB121" s="231"/>
      <c r="AC121" s="223">
        <f>AC111+AC113+AC115+AC117</f>
        <v>32.406525841780351</v>
      </c>
      <c r="AD121" s="231"/>
      <c r="AE121" s="223">
        <f>AE111+AE113+AE115+AE117</f>
        <v>45.672645654722203</v>
      </c>
      <c r="AG121" s="228">
        <f>U121+W121+Y121+AA121+AC121+AE121</f>
        <v>253.56132897548514</v>
      </c>
      <c r="AH121" s="127"/>
      <c r="AI121" s="127"/>
    </row>
    <row r="122" spans="1:35" ht="15" thickBot="1" x14ac:dyDescent="0.35">
      <c r="C122" s="21"/>
      <c r="U122" s="231"/>
      <c r="V122" s="231"/>
      <c r="W122" s="231"/>
      <c r="X122" s="231"/>
      <c r="Y122" s="231"/>
      <c r="Z122" s="231"/>
      <c r="AA122" s="231"/>
      <c r="AB122" s="231"/>
      <c r="AC122" s="231"/>
      <c r="AD122" s="231"/>
      <c r="AE122" s="231"/>
      <c r="AG122" s="230"/>
      <c r="AH122" s="127"/>
      <c r="AI122" s="127"/>
    </row>
    <row r="123" spans="1:35" ht="16.2" thickBot="1" x14ac:dyDescent="0.4">
      <c r="O123" s="225" t="s">
        <v>193</v>
      </c>
      <c r="P123" s="226">
        <f>P121/O121</f>
        <v>10.723042066134383</v>
      </c>
      <c r="T123" t="s">
        <v>196</v>
      </c>
      <c r="U123" s="223">
        <f>U121*U108</f>
        <v>6.8508968482083299</v>
      </c>
      <c r="V123" s="231"/>
      <c r="W123" s="231">
        <f>W121*W108</f>
        <v>205.7835797542655</v>
      </c>
      <c r="X123" s="231"/>
      <c r="Y123" s="231">
        <f>Y121*Y108</f>
        <v>422.47197230618036</v>
      </c>
      <c r="Z123" s="231"/>
      <c r="AA123" s="231">
        <f>AA121*AA108</f>
        <v>637.13340688337473</v>
      </c>
      <c r="AB123" s="231"/>
      <c r="AC123" s="231">
        <f>AC121*AC108</f>
        <v>620.58496987009369</v>
      </c>
      <c r="AD123" s="231"/>
      <c r="AE123" s="231">
        <f>AE121*AE108</f>
        <v>1052.7544823413466</v>
      </c>
      <c r="AG123" s="228">
        <f>U123+W123+Y123+AA123+AC123+AE123</f>
        <v>2945.5793080034691</v>
      </c>
      <c r="AH123" s="228"/>
      <c r="AI123" s="127"/>
    </row>
    <row r="124" spans="1:35" ht="18.600000000000001" thickBot="1" x14ac:dyDescent="0.45">
      <c r="O124" s="235" t="s">
        <v>204</v>
      </c>
      <c r="P124" s="237">
        <f>10.5</f>
        <v>10.5</v>
      </c>
      <c r="U124" s="231"/>
      <c r="V124" s="231"/>
      <c r="W124" s="231"/>
      <c r="X124" s="231"/>
      <c r="Y124" s="231"/>
      <c r="Z124" s="231"/>
      <c r="AA124" s="231"/>
      <c r="AB124" s="231"/>
      <c r="AC124" s="231"/>
      <c r="AD124" s="231"/>
      <c r="AE124" s="231"/>
      <c r="AG124" s="230"/>
      <c r="AH124" s="127"/>
      <c r="AI124" s="127"/>
    </row>
    <row r="125" spans="1:35" ht="16.8" thickBot="1" x14ac:dyDescent="0.35">
      <c r="O125" s="235" t="s">
        <v>205</v>
      </c>
      <c r="P125" s="238">
        <f>ABS(P123-P124)</f>
        <v>0.22304206613438282</v>
      </c>
      <c r="T125" t="s">
        <v>197</v>
      </c>
      <c r="U125" s="223">
        <f>U123*U108</f>
        <v>1.0276345272312495</v>
      </c>
      <c r="V125" s="231"/>
      <c r="W125" s="231">
        <f>W123*W108</f>
        <v>1100.9421516853206</v>
      </c>
      <c r="X125" s="231"/>
      <c r="Y125" s="231">
        <f>Y123*Y108</f>
        <v>3907.8657438321684</v>
      </c>
      <c r="Z125" s="231"/>
      <c r="AA125" s="231">
        <f>AA123*AA108</f>
        <v>8888.0110260230776</v>
      </c>
      <c r="AB125" s="231"/>
      <c r="AC125" s="231">
        <f>AC123*AC108</f>
        <v>11884.202173012292</v>
      </c>
      <c r="AD125" s="231"/>
      <c r="AE125" s="231">
        <f>AE123*AE108</f>
        <v>24265.990817968035</v>
      </c>
      <c r="AG125" s="228">
        <f>U125+W125+Y125+AA125+AC125+AE125</f>
        <v>50048.039547048123</v>
      </c>
      <c r="AH125" s="127"/>
      <c r="AI125" s="127"/>
    </row>
  </sheetData>
  <mergeCells count="31">
    <mergeCell ref="AP14:AP15"/>
    <mergeCell ref="AQ14:AQ15"/>
    <mergeCell ref="AL13:AN13"/>
    <mergeCell ref="AO13:AQ13"/>
    <mergeCell ref="AL12:AQ12"/>
    <mergeCell ref="AK14:AK15"/>
    <mergeCell ref="AL14:AL15"/>
    <mergeCell ref="AM14:AM15"/>
    <mergeCell ref="AN14:AN15"/>
    <mergeCell ref="AO14:AO15"/>
    <mergeCell ref="A1:Q1"/>
    <mergeCell ref="S1:AI1"/>
    <mergeCell ref="A22:Q22"/>
    <mergeCell ref="S22:AI22"/>
    <mergeCell ref="A43:Q43"/>
    <mergeCell ref="S43:AI43"/>
    <mergeCell ref="A106:Q106"/>
    <mergeCell ref="S106:AI106"/>
    <mergeCell ref="A64:Q64"/>
    <mergeCell ref="S64:AI64"/>
    <mergeCell ref="A85:Q85"/>
    <mergeCell ref="S85:AI85"/>
    <mergeCell ref="AQ2:AQ3"/>
    <mergeCell ref="AR2:AR3"/>
    <mergeCell ref="AS2:AS3"/>
    <mergeCell ref="AK2:AK3"/>
    <mergeCell ref="AL2:AL3"/>
    <mergeCell ref="AM2:AM3"/>
    <mergeCell ref="AN2:AN3"/>
    <mergeCell ref="AO2:AO3"/>
    <mergeCell ref="AP2:AP3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28"/>
  <sheetViews>
    <sheetView zoomScaleNormal="100" workbookViewId="0">
      <selection activeCell="R3" sqref="R3"/>
    </sheetView>
  </sheetViews>
  <sheetFormatPr defaultRowHeight="14.4" x14ac:dyDescent="0.3"/>
  <cols>
    <col min="2" max="2" width="16.44140625" customWidth="1"/>
    <col min="7" max="7" width="10.88671875" customWidth="1"/>
    <col min="8" max="8" width="11.77734375" customWidth="1"/>
    <col min="12" max="12" width="17.77734375" customWidth="1"/>
  </cols>
  <sheetData>
    <row r="2" spans="2:18" ht="15.6" x14ac:dyDescent="0.3">
      <c r="C2" s="512" t="s">
        <v>0</v>
      </c>
      <c r="D2" s="512"/>
      <c r="O2" s="523" t="s">
        <v>472</v>
      </c>
      <c r="P2" s="523"/>
      <c r="Q2" s="523" t="s">
        <v>473</v>
      </c>
      <c r="R2" s="523"/>
    </row>
    <row r="3" spans="2:18" ht="18" x14ac:dyDescent="0.4">
      <c r="C3" s="95" t="s">
        <v>1</v>
      </c>
      <c r="D3" s="95" t="s">
        <v>2</v>
      </c>
      <c r="E3" s="3"/>
      <c r="G3" s="97" t="s">
        <v>22</v>
      </c>
      <c r="H3" s="34" t="s">
        <v>23</v>
      </c>
      <c r="I3" s="34" t="s">
        <v>24</v>
      </c>
      <c r="L3" s="97" t="s">
        <v>29</v>
      </c>
      <c r="M3" s="34">
        <f>'stima car. unit.'!L4</f>
        <v>0.24</v>
      </c>
      <c r="O3" s="100" t="s">
        <v>52</v>
      </c>
      <c r="P3" s="473">
        <v>25</v>
      </c>
      <c r="Q3" s="470" t="s">
        <v>467</v>
      </c>
      <c r="R3" s="474">
        <v>391.3</v>
      </c>
    </row>
    <row r="4" spans="2:18" ht="18.600000000000001" x14ac:dyDescent="0.4">
      <c r="B4" s="2"/>
      <c r="C4" s="59">
        <f>1.3</f>
        <v>1.3</v>
      </c>
      <c r="D4" s="96">
        <v>1.5</v>
      </c>
      <c r="E4" s="4"/>
      <c r="G4" s="98" t="s">
        <v>14</v>
      </c>
      <c r="H4" s="34">
        <f>0.3</f>
        <v>0.3</v>
      </c>
      <c r="I4" s="34">
        <v>0.6</v>
      </c>
      <c r="L4" s="97" t="s">
        <v>149</v>
      </c>
      <c r="M4" s="99">
        <v>3.2</v>
      </c>
      <c r="O4" s="471" t="s">
        <v>147</v>
      </c>
      <c r="P4" s="474">
        <v>31500</v>
      </c>
      <c r="Q4" s="470" t="s">
        <v>471</v>
      </c>
      <c r="R4" s="474">
        <v>450</v>
      </c>
    </row>
    <row r="5" spans="2:18" ht="18" x14ac:dyDescent="0.35">
      <c r="B5" s="144"/>
      <c r="C5" s="64"/>
      <c r="D5" s="146"/>
      <c r="E5" s="4"/>
      <c r="G5" s="147"/>
      <c r="H5" s="143"/>
      <c r="I5" s="143"/>
      <c r="L5" s="97" t="s">
        <v>167</v>
      </c>
      <c r="M5" s="148">
        <v>3</v>
      </c>
      <c r="O5" s="472" t="s">
        <v>469</v>
      </c>
      <c r="P5" s="475">
        <v>3.5000000000000001E-3</v>
      </c>
      <c r="Q5" s="469" t="s">
        <v>470</v>
      </c>
      <c r="R5" s="476">
        <v>1.9599999999999999E-3</v>
      </c>
    </row>
    <row r="6" spans="2:18" ht="16.2" x14ac:dyDescent="0.35">
      <c r="B6" s="18"/>
      <c r="C6" s="18"/>
      <c r="D6" s="4"/>
      <c r="E6" s="4"/>
      <c r="L6" s="97" t="s">
        <v>35</v>
      </c>
      <c r="M6" s="99">
        <v>6</v>
      </c>
      <c r="O6" s="100" t="s">
        <v>53</v>
      </c>
      <c r="P6" s="473">
        <v>14.7</v>
      </c>
    </row>
    <row r="7" spans="2:18" x14ac:dyDescent="0.3">
      <c r="B7" s="4"/>
      <c r="C7" s="4"/>
      <c r="D7" s="4"/>
      <c r="E7" s="4"/>
      <c r="L7" s="97" t="s">
        <v>39</v>
      </c>
      <c r="M7" s="99">
        <v>0.04</v>
      </c>
      <c r="O7" s="97" t="s">
        <v>468</v>
      </c>
      <c r="P7" s="474">
        <v>1.9699999999999999E-2</v>
      </c>
    </row>
    <row r="8" spans="2:18" ht="15" thickBot="1" x14ac:dyDescent="0.35">
      <c r="B8" s="4"/>
      <c r="C8" s="4"/>
      <c r="D8" s="4"/>
      <c r="E8" s="4"/>
      <c r="O8" s="97" t="s">
        <v>26</v>
      </c>
      <c r="P8" s="474">
        <v>1.7100000000000001E-2</v>
      </c>
    </row>
    <row r="9" spans="2:18" ht="31.2" customHeight="1" thickBot="1" x14ac:dyDescent="0.35">
      <c r="B9" s="17"/>
      <c r="C9" s="101" t="s">
        <v>8</v>
      </c>
      <c r="D9" s="102" t="s">
        <v>9</v>
      </c>
      <c r="E9" s="102" t="s">
        <v>10</v>
      </c>
      <c r="F9" s="102" t="s">
        <v>11</v>
      </c>
      <c r="G9" s="103" t="s">
        <v>15</v>
      </c>
      <c r="H9" s="103" t="s">
        <v>16</v>
      </c>
      <c r="I9" s="104"/>
    </row>
    <row r="10" spans="2:18" ht="17.399999999999999" x14ac:dyDescent="0.3">
      <c r="B10" s="106" t="s">
        <v>3</v>
      </c>
      <c r="C10" s="90">
        <f>'stima car. unit.'!H9+'stima car. unit.'!H16</f>
        <v>4.3019480519480524</v>
      </c>
      <c r="D10" s="15">
        <v>2</v>
      </c>
      <c r="E10" s="15">
        <f>C10*$C$4</f>
        <v>5.5925324675324681</v>
      </c>
      <c r="F10" s="15">
        <f>D10*$D$4</f>
        <v>3</v>
      </c>
      <c r="G10" s="16">
        <f>E10+F10</f>
        <v>8.5925324675324681</v>
      </c>
      <c r="H10" s="16">
        <f>C10+D10*H4</f>
        <v>4.9019480519480521</v>
      </c>
      <c r="I10" s="10" t="s">
        <v>13</v>
      </c>
    </row>
    <row r="11" spans="2:18" ht="15.6" x14ac:dyDescent="0.3">
      <c r="B11" s="312" t="s">
        <v>356</v>
      </c>
      <c r="C11" s="90">
        <v>1.2</v>
      </c>
      <c r="D11" s="15"/>
      <c r="E11" s="15">
        <f>C11*D4</f>
        <v>1.7999999999999998</v>
      </c>
      <c r="F11" s="15"/>
      <c r="G11" s="16">
        <f>E11</f>
        <v>1.7999999999999998</v>
      </c>
      <c r="H11" s="16">
        <f>E11</f>
        <v>1.7999999999999998</v>
      </c>
      <c r="I11" s="10"/>
    </row>
    <row r="12" spans="2:18" ht="17.399999999999999" x14ac:dyDescent="0.3">
      <c r="B12" s="312" t="s">
        <v>260</v>
      </c>
      <c r="C12" s="90">
        <f>'stima car. unit.'!H79+'stima car. unit.'!H71</f>
        <v>4.9619480519480526</v>
      </c>
      <c r="D12" s="15">
        <v>2</v>
      </c>
      <c r="E12" s="15">
        <f>C12*$C$4</f>
        <v>6.4505324675324687</v>
      </c>
      <c r="F12" s="15">
        <f>D12*$D$4</f>
        <v>3</v>
      </c>
      <c r="G12" s="16">
        <f>E12+F12</f>
        <v>9.4505324675324687</v>
      </c>
      <c r="H12" s="16">
        <f>C12+D12*H5</f>
        <v>4.9619480519480526</v>
      </c>
      <c r="I12" s="10" t="s">
        <v>13</v>
      </c>
    </row>
    <row r="13" spans="2:18" ht="15.6" x14ac:dyDescent="0.3">
      <c r="B13" s="12" t="s">
        <v>4</v>
      </c>
      <c r="C13" s="91">
        <f>'stima car. unit.'!H51</f>
        <v>3.0460600000000002</v>
      </c>
      <c r="D13" s="8"/>
      <c r="E13" s="8">
        <f>C13*C4</f>
        <v>3.9598780000000002</v>
      </c>
      <c r="F13" s="8"/>
      <c r="G13" s="9">
        <f t="shared" ref="G13:G23" si="0">E13+F13</f>
        <v>3.9598780000000002</v>
      </c>
      <c r="H13" s="9">
        <f>C13</f>
        <v>3.0460600000000002</v>
      </c>
      <c r="I13" s="56" t="s">
        <v>12</v>
      </c>
      <c r="L13" s="6"/>
    </row>
    <row r="14" spans="2:18" ht="17.399999999999999" x14ac:dyDescent="0.3">
      <c r="B14" s="12" t="s">
        <v>5</v>
      </c>
      <c r="C14" s="343">
        <f>'stima car. unit.'!H25+'stima car. unit.'!H32</f>
        <v>3.9305785123966945</v>
      </c>
      <c r="D14" s="8">
        <v>4</v>
      </c>
      <c r="E14" s="8">
        <f t="shared" ref="E14:E23" si="1">C14*$C$4</f>
        <v>5.1097520661157034</v>
      </c>
      <c r="F14" s="8">
        <f>D14*$D$4</f>
        <v>6</v>
      </c>
      <c r="G14" s="9">
        <f t="shared" si="0"/>
        <v>11.109752066115703</v>
      </c>
      <c r="H14" s="9">
        <f>C14+D14*I4</f>
        <v>6.3305785123966949</v>
      </c>
      <c r="I14" s="56" t="s">
        <v>13</v>
      </c>
    </row>
    <row r="15" spans="2:18" ht="17.399999999999999" x14ac:dyDescent="0.3">
      <c r="B15" s="347" t="s">
        <v>251</v>
      </c>
      <c r="C15" s="348">
        <v>3.5</v>
      </c>
      <c r="D15" s="349">
        <v>0.5</v>
      </c>
      <c r="E15" s="349">
        <f>C15*$C$4</f>
        <v>4.55</v>
      </c>
      <c r="F15" s="349">
        <f>D15*$D$4</f>
        <v>0.75</v>
      </c>
      <c r="G15" s="329">
        <f>E15+F15</f>
        <v>5.3</v>
      </c>
      <c r="H15" s="329">
        <f>C15+D15*$I$4</f>
        <v>3.8</v>
      </c>
      <c r="I15" s="295" t="s">
        <v>13</v>
      </c>
    </row>
    <row r="16" spans="2:18" ht="17.399999999999999" x14ac:dyDescent="0.3">
      <c r="B16" s="12" t="s">
        <v>7</v>
      </c>
      <c r="C16" s="91">
        <f>'stima car. unit.'!H43</f>
        <v>7.0482000000000014</v>
      </c>
      <c r="D16" s="8">
        <v>4</v>
      </c>
      <c r="E16" s="8">
        <f t="shared" si="1"/>
        <v>9.1626600000000025</v>
      </c>
      <c r="F16" s="8">
        <f>D16*$D$4</f>
        <v>6</v>
      </c>
      <c r="G16" s="9">
        <f>E16+F16</f>
        <v>15.162660000000002</v>
      </c>
      <c r="H16" s="9">
        <f>C16+D16*I4</f>
        <v>9.4482000000000017</v>
      </c>
      <c r="I16" s="391" t="s">
        <v>13</v>
      </c>
    </row>
    <row r="17" spans="2:11" ht="30.6" customHeight="1" x14ac:dyDescent="0.3">
      <c r="B17" s="13" t="s">
        <v>137</v>
      </c>
      <c r="C17" s="298">
        <f>'stima car. unit.'!$S$5</f>
        <v>4.9890259740259744</v>
      </c>
      <c r="D17" s="8"/>
      <c r="E17" s="8">
        <f t="shared" si="1"/>
        <v>6.4857337662337669</v>
      </c>
      <c r="F17" s="8"/>
      <c r="G17" s="9">
        <f>E17+F17</f>
        <v>6.4857337662337669</v>
      </c>
      <c r="H17" s="9">
        <f t="shared" ref="H17:H22" si="2">C17+D17</f>
        <v>4.9890259740259744</v>
      </c>
      <c r="I17" s="56" t="s">
        <v>12</v>
      </c>
    </row>
    <row r="18" spans="2:11" ht="30.6" customHeight="1" x14ac:dyDescent="0.3">
      <c r="B18" s="13" t="s">
        <v>245</v>
      </c>
      <c r="C18" s="298">
        <f>'stima car. unit.'!S9</f>
        <v>4.2390259740259735</v>
      </c>
      <c r="D18" s="8"/>
      <c r="E18" s="8">
        <f>C18*$C$4</f>
        <v>5.5107337662337654</v>
      </c>
      <c r="F18" s="8"/>
      <c r="G18" s="9">
        <f>E18+F18</f>
        <v>5.5107337662337654</v>
      </c>
      <c r="H18" s="9">
        <f t="shared" si="2"/>
        <v>4.2390259740259735</v>
      </c>
      <c r="I18" s="295" t="s">
        <v>12</v>
      </c>
    </row>
    <row r="19" spans="2:11" ht="30.6" customHeight="1" x14ac:dyDescent="0.3">
      <c r="B19" s="13" t="s">
        <v>246</v>
      </c>
      <c r="C19" s="298">
        <f>'stima car. unit.'!S13</f>
        <v>3.4890259740259744</v>
      </c>
      <c r="D19" s="8"/>
      <c r="E19" s="8">
        <f>C19*$C$4</f>
        <v>4.5357337662337667</v>
      </c>
      <c r="F19" s="8"/>
      <c r="G19" s="9">
        <f>E19+F19</f>
        <v>4.5357337662337667</v>
      </c>
      <c r="H19" s="9">
        <f t="shared" si="2"/>
        <v>3.4890259740259744</v>
      </c>
      <c r="I19" s="295" t="s">
        <v>12</v>
      </c>
    </row>
    <row r="20" spans="2:11" ht="34.200000000000003" customHeight="1" x14ac:dyDescent="0.3">
      <c r="B20" s="13" t="s">
        <v>31</v>
      </c>
      <c r="C20" s="298">
        <f>'stima car. unit.'!X5</f>
        <v>3.0780519480519479</v>
      </c>
      <c r="D20" s="8"/>
      <c r="E20" s="8">
        <f t="shared" si="1"/>
        <v>4.0014675324675322</v>
      </c>
      <c r="F20" s="8"/>
      <c r="G20" s="9">
        <f t="shared" si="0"/>
        <v>4.0014675324675322</v>
      </c>
      <c r="H20" s="9">
        <f t="shared" si="2"/>
        <v>3.0780519480519479</v>
      </c>
      <c r="I20" s="56" t="s">
        <v>12</v>
      </c>
      <c r="K20" s="7"/>
    </row>
    <row r="21" spans="2:11" ht="32.4" customHeight="1" x14ac:dyDescent="0.3">
      <c r="B21" s="13" t="s">
        <v>56</v>
      </c>
      <c r="C21" s="91">
        <f>'stima car. unit.'!X9</f>
        <v>1.8468311688311685</v>
      </c>
      <c r="D21" s="8"/>
      <c r="E21" s="8">
        <f>C21*$C$4</f>
        <v>2.4008805194805189</v>
      </c>
      <c r="F21" s="8"/>
      <c r="G21" s="9">
        <f>E21+F21</f>
        <v>2.4008805194805189</v>
      </c>
      <c r="H21" s="9">
        <f t="shared" si="2"/>
        <v>1.8468311688311685</v>
      </c>
      <c r="I21" s="296" t="s">
        <v>12</v>
      </c>
      <c r="K21" s="7"/>
    </row>
    <row r="22" spans="2:11" ht="16.2" thickBot="1" x14ac:dyDescent="0.35">
      <c r="B22" s="14" t="s">
        <v>6</v>
      </c>
      <c r="C22" s="291">
        <f>'stima car. unit.'!H61</f>
        <v>5.9782359375000009</v>
      </c>
      <c r="D22" s="8"/>
      <c r="E22" s="8">
        <f t="shared" si="1"/>
        <v>7.7717067187500017</v>
      </c>
      <c r="F22" s="8"/>
      <c r="G22" s="8">
        <f t="shared" si="0"/>
        <v>7.7717067187500017</v>
      </c>
      <c r="H22" s="9">
        <f t="shared" si="2"/>
        <v>5.9782359375000009</v>
      </c>
      <c r="I22" s="56" t="s">
        <v>12</v>
      </c>
    </row>
    <row r="23" spans="2:11" ht="16.2" thickBot="1" x14ac:dyDescent="0.35">
      <c r="B23" s="107" t="s">
        <v>341</v>
      </c>
      <c r="C23" s="283">
        <f>0.3*0.8*$P$3*(3.6-0.8)</f>
        <v>16.799999999999997</v>
      </c>
      <c r="D23" s="78"/>
      <c r="E23" s="330">
        <f t="shared" si="1"/>
        <v>21.839999999999996</v>
      </c>
      <c r="F23" s="330"/>
      <c r="G23" s="330">
        <f t="shared" si="0"/>
        <v>21.839999999999996</v>
      </c>
      <c r="H23" s="330">
        <f>C23</f>
        <v>16.799999999999997</v>
      </c>
      <c r="I23" s="56" t="s">
        <v>338</v>
      </c>
      <c r="K23" s="359"/>
    </row>
    <row r="24" spans="2:11" ht="16.2" thickBot="1" x14ac:dyDescent="0.35">
      <c r="B24" s="107" t="s">
        <v>140</v>
      </c>
      <c r="C24" s="283">
        <f>0.3*0.8*$P$3*(3.2-0.8)</f>
        <v>14.400000000000002</v>
      </c>
      <c r="D24" s="78"/>
      <c r="E24" s="345">
        <f>C24*$C$4</f>
        <v>18.720000000000002</v>
      </c>
      <c r="F24" s="345"/>
      <c r="G24" s="345">
        <f>E24+F24</f>
        <v>18.720000000000002</v>
      </c>
      <c r="H24" s="345">
        <f>C24</f>
        <v>14.400000000000002</v>
      </c>
      <c r="I24" s="345" t="s">
        <v>338</v>
      </c>
    </row>
    <row r="25" spans="2:11" ht="16.2" thickBot="1" x14ac:dyDescent="0.35">
      <c r="B25" s="107" t="s">
        <v>339</v>
      </c>
      <c r="C25" s="283">
        <f>0.3*0.7*$P$3*(3.2-0.7)</f>
        <v>13.125</v>
      </c>
      <c r="D25" s="78"/>
      <c r="E25" s="345">
        <f>C25*$C$4</f>
        <v>17.0625</v>
      </c>
      <c r="F25" s="345"/>
      <c r="G25" s="345">
        <f>E25+F25</f>
        <v>17.0625</v>
      </c>
      <c r="H25" s="345">
        <f>C25</f>
        <v>13.125</v>
      </c>
      <c r="I25" s="345" t="s">
        <v>338</v>
      </c>
    </row>
    <row r="26" spans="2:11" ht="16.2" thickBot="1" x14ac:dyDescent="0.35">
      <c r="B26" s="107" t="s">
        <v>340</v>
      </c>
      <c r="C26" s="283">
        <f>0.3*0.6*$P$3*(3.2-0.6)</f>
        <v>11.700000000000001</v>
      </c>
      <c r="D26" s="78"/>
      <c r="E26" s="345">
        <f>C26*$C$4</f>
        <v>15.210000000000003</v>
      </c>
      <c r="F26" s="345"/>
      <c r="G26" s="345">
        <f>E26+F26</f>
        <v>15.210000000000003</v>
      </c>
      <c r="H26" s="345">
        <f>C26</f>
        <v>11.700000000000001</v>
      </c>
      <c r="I26" s="345" t="s">
        <v>338</v>
      </c>
    </row>
    <row r="27" spans="2:11" ht="15.6" x14ac:dyDescent="0.3">
      <c r="B27" s="1"/>
    </row>
    <row r="28" spans="2:11" ht="15.6" x14ac:dyDescent="0.3">
      <c r="B28" s="1"/>
    </row>
  </sheetData>
  <mergeCells count="3">
    <mergeCell ref="C2:D2"/>
    <mergeCell ref="O2:P2"/>
    <mergeCell ref="Q2:R2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4"/>
  <sheetViews>
    <sheetView zoomScale="110" zoomScaleNormal="110" workbookViewId="0">
      <selection activeCell="C12" sqref="C12"/>
    </sheetView>
  </sheetViews>
  <sheetFormatPr defaultRowHeight="14.4" x14ac:dyDescent="0.3"/>
  <cols>
    <col min="2" max="2" width="12.44140625" customWidth="1"/>
    <col min="5" max="5" width="12.5546875" customWidth="1"/>
    <col min="8" max="8" width="11.33203125" customWidth="1"/>
    <col min="9" max="9" width="8.88671875" customWidth="1"/>
    <col min="11" max="11" width="11.6640625" customWidth="1"/>
    <col min="14" max="14" width="10.88671875" customWidth="1"/>
  </cols>
  <sheetData>
    <row r="2" spans="1:16" ht="16.2" thickBot="1" x14ac:dyDescent="0.35">
      <c r="A2" s="5"/>
      <c r="K2" s="1"/>
      <c r="L2" s="1"/>
      <c r="M2" s="1"/>
      <c r="N2" s="1"/>
      <c r="O2" s="1"/>
      <c r="P2" s="1"/>
    </row>
    <row r="3" spans="1:16" ht="16.2" thickBot="1" x14ac:dyDescent="0.35">
      <c r="A3" s="2"/>
      <c r="B3" s="530" t="s">
        <v>17</v>
      </c>
      <c r="C3" s="531"/>
      <c r="D3" s="531"/>
      <c r="E3" s="531"/>
      <c r="F3" s="531"/>
      <c r="G3" s="531"/>
      <c r="H3" s="531"/>
      <c r="I3" s="531"/>
      <c r="J3" s="532"/>
      <c r="K3" s="1"/>
      <c r="L3" s="1"/>
      <c r="M3" s="1"/>
      <c r="N3" s="1"/>
      <c r="O3" s="1"/>
      <c r="P3" s="1"/>
    </row>
    <row r="4" spans="1:16" ht="31.8" customHeight="1" thickBot="1" x14ac:dyDescent="0.35">
      <c r="A4" s="1"/>
      <c r="B4" s="527" t="s">
        <v>58</v>
      </c>
      <c r="C4" s="528"/>
      <c r="D4" s="529"/>
      <c r="E4" s="527" t="s">
        <v>59</v>
      </c>
      <c r="F4" s="528"/>
      <c r="G4" s="529"/>
      <c r="H4" s="527" t="s">
        <v>141</v>
      </c>
      <c r="I4" s="528"/>
      <c r="J4" s="529"/>
      <c r="K4" s="527" t="s">
        <v>157</v>
      </c>
      <c r="L4" s="528"/>
      <c r="M4" s="529"/>
      <c r="N4" s="524" t="s">
        <v>219</v>
      </c>
      <c r="O4" s="525"/>
      <c r="P4" s="526"/>
    </row>
    <row r="5" spans="1:16" ht="15.6" x14ac:dyDescent="0.3">
      <c r="A5" s="1"/>
      <c r="B5" s="112" t="s">
        <v>18</v>
      </c>
      <c r="C5" s="108">
        <v>4.5</v>
      </c>
      <c r="D5" s="111" t="s">
        <v>30</v>
      </c>
      <c r="E5" s="112" t="s">
        <v>18</v>
      </c>
      <c r="F5" s="108">
        <v>4.55</v>
      </c>
      <c r="G5" s="111" t="s">
        <v>30</v>
      </c>
      <c r="H5" s="266" t="s">
        <v>220</v>
      </c>
      <c r="I5" s="270">
        <f>2.75*1.1</f>
        <v>3.0250000000000004</v>
      </c>
      <c r="J5" s="268" t="s">
        <v>30</v>
      </c>
      <c r="K5" s="112" t="s">
        <v>18</v>
      </c>
      <c r="L5" s="108">
        <v>5</v>
      </c>
      <c r="M5" s="257" t="s">
        <v>30</v>
      </c>
      <c r="N5" s="266" t="s">
        <v>220</v>
      </c>
      <c r="O5" s="267">
        <f>2.1*1.1</f>
        <v>2.3100000000000005</v>
      </c>
      <c r="P5" s="268" t="s">
        <v>30</v>
      </c>
    </row>
    <row r="6" spans="1:16" ht="15.6" x14ac:dyDescent="0.3">
      <c r="A6" s="1"/>
      <c r="B6" s="112" t="s">
        <v>25</v>
      </c>
      <c r="C6" s="109">
        <v>4.7</v>
      </c>
      <c r="D6" s="111" t="s">
        <v>30</v>
      </c>
      <c r="E6" s="112" t="s">
        <v>25</v>
      </c>
      <c r="F6" s="109">
        <v>5.6</v>
      </c>
      <c r="G6" s="111" t="s">
        <v>30</v>
      </c>
      <c r="H6" s="269" t="s">
        <v>221</v>
      </c>
      <c r="I6" s="263">
        <f>1.5*1.2</f>
        <v>1.7999999999999998</v>
      </c>
      <c r="J6" s="111" t="s">
        <v>30</v>
      </c>
      <c r="K6" s="112" t="s">
        <v>25</v>
      </c>
      <c r="L6" s="109">
        <v>5.6</v>
      </c>
      <c r="M6" s="257" t="s">
        <v>30</v>
      </c>
      <c r="N6" s="269" t="s">
        <v>221</v>
      </c>
      <c r="O6" s="263">
        <f>1.5*1.2</f>
        <v>1.7999999999999998</v>
      </c>
      <c r="P6" s="111" t="s">
        <v>30</v>
      </c>
    </row>
    <row r="7" spans="1:16" ht="31.2" customHeight="1" x14ac:dyDescent="0.3">
      <c r="A7" s="1"/>
      <c r="B7" s="112" t="s">
        <v>20</v>
      </c>
      <c r="C7" s="110">
        <f>'Carichi unitari'!G10</f>
        <v>8.5925324675324681</v>
      </c>
      <c r="D7" s="113" t="s">
        <v>13</v>
      </c>
      <c r="E7" s="123" t="s">
        <v>32</v>
      </c>
      <c r="F7" s="110">
        <f>'Carichi unitari'!$G$10+'Carichi unitari'!$G$13</f>
        <v>12.552410467532468</v>
      </c>
      <c r="G7" s="113" t="s">
        <v>13</v>
      </c>
      <c r="H7" s="142" t="s">
        <v>224</v>
      </c>
      <c r="I7" s="264">
        <v>5.6</v>
      </c>
      <c r="J7" s="256" t="s">
        <v>30</v>
      </c>
      <c r="K7" s="123" t="s">
        <v>32</v>
      </c>
      <c r="L7" s="110">
        <f>'Carichi unitari'!$G$10+'Carichi unitari'!$G$13</f>
        <v>12.552410467532468</v>
      </c>
      <c r="M7" s="258" t="s">
        <v>13</v>
      </c>
      <c r="N7" s="142" t="s">
        <v>224</v>
      </c>
      <c r="O7" s="264">
        <v>4.7</v>
      </c>
      <c r="P7" s="256" t="s">
        <v>30</v>
      </c>
    </row>
    <row r="8" spans="1:16" ht="31.2" x14ac:dyDescent="0.3">
      <c r="A8" s="1"/>
      <c r="B8" s="112" t="s">
        <v>21</v>
      </c>
      <c r="C8" s="110">
        <f>'Carichi unitari'!G20</f>
        <v>4.0014675324675322</v>
      </c>
      <c r="D8" s="114" t="s">
        <v>12</v>
      </c>
      <c r="E8" s="112" t="s">
        <v>21</v>
      </c>
      <c r="F8" s="110">
        <f>'Carichi unitari'!$G$17</f>
        <v>6.4857337662337669</v>
      </c>
      <c r="G8" s="114" t="s">
        <v>12</v>
      </c>
      <c r="H8" s="255" t="s">
        <v>32</v>
      </c>
      <c r="I8" s="110">
        <f>'Carichi unitari'!$G$10+'Carichi unitari'!$G$13</f>
        <v>12.552410467532468</v>
      </c>
      <c r="J8" s="113" t="s">
        <v>13</v>
      </c>
      <c r="K8" s="112" t="s">
        <v>21</v>
      </c>
      <c r="L8" s="110">
        <f>'Carichi unitari'!$G$17</f>
        <v>6.4857337662337669</v>
      </c>
      <c r="M8" s="259" t="s">
        <v>12</v>
      </c>
      <c r="N8" s="255" t="s">
        <v>32</v>
      </c>
      <c r="O8" s="110">
        <f>'Carichi unitari'!$G$10+'Carichi unitari'!$G$13</f>
        <v>12.552410467532468</v>
      </c>
      <c r="P8" s="113" t="s">
        <v>13</v>
      </c>
    </row>
    <row r="9" spans="1:16" ht="19.2" customHeight="1" x14ac:dyDescent="0.3">
      <c r="A9" s="1"/>
      <c r="B9" s="112" t="s">
        <v>19</v>
      </c>
      <c r="C9" s="110">
        <f>C5*C7+C8</f>
        <v>42.667863636363634</v>
      </c>
      <c r="D9" s="115" t="s">
        <v>12</v>
      </c>
      <c r="E9" s="112" t="s">
        <v>19</v>
      </c>
      <c r="F9" s="110">
        <f>F5*F7+F8</f>
        <v>63.59920139350649</v>
      </c>
      <c r="G9" s="115" t="s">
        <v>12</v>
      </c>
      <c r="H9" s="269" t="s">
        <v>223</v>
      </c>
      <c r="I9" s="265">
        <f>'Carichi unitari'!G14</f>
        <v>11.109752066115703</v>
      </c>
      <c r="J9" s="113" t="s">
        <v>13</v>
      </c>
      <c r="K9" s="112" t="s">
        <v>19</v>
      </c>
      <c r="L9" s="110">
        <f>L5*L7+L8</f>
        <v>69.247786103896104</v>
      </c>
      <c r="M9" s="260" t="s">
        <v>12</v>
      </c>
      <c r="N9" s="269" t="s">
        <v>223</v>
      </c>
      <c r="O9" s="265">
        <f>'Carichi unitari'!G14</f>
        <v>11.109752066115703</v>
      </c>
      <c r="P9" s="113" t="s">
        <v>13</v>
      </c>
    </row>
    <row r="10" spans="1:16" ht="27" customHeight="1" x14ac:dyDescent="0.3">
      <c r="A10" s="1"/>
      <c r="B10" s="123" t="s">
        <v>93</v>
      </c>
      <c r="C10" s="110">
        <f>C9*C6^2/10</f>
        <v>94.253310772727289</v>
      </c>
      <c r="D10" s="116" t="s">
        <v>27</v>
      </c>
      <c r="E10" s="123" t="s">
        <v>93</v>
      </c>
      <c r="F10" s="110">
        <f>F9*F6^2/10</f>
        <v>199.44709557003631</v>
      </c>
      <c r="G10" s="118" t="s">
        <v>27</v>
      </c>
      <c r="H10" s="254" t="s">
        <v>21</v>
      </c>
      <c r="I10" s="110">
        <f>'Carichi unitari'!$G$17</f>
        <v>6.4857337662337669</v>
      </c>
      <c r="J10" s="114" t="s">
        <v>12</v>
      </c>
      <c r="K10" s="123" t="s">
        <v>93</v>
      </c>
      <c r="L10" s="110">
        <f>L9*L6^2/10</f>
        <v>217.16105722181814</v>
      </c>
      <c r="M10" s="261" t="s">
        <v>27</v>
      </c>
      <c r="N10" s="254" t="s">
        <v>21</v>
      </c>
      <c r="O10" s="110">
        <f>'Carichi unitari'!$G$17</f>
        <v>6.4857337662337669</v>
      </c>
      <c r="P10" s="114" t="s">
        <v>12</v>
      </c>
    </row>
    <row r="11" spans="1:16" ht="28.2" customHeight="1" thickBot="1" x14ac:dyDescent="0.35">
      <c r="A11" s="1"/>
      <c r="B11" s="123" t="s">
        <v>36</v>
      </c>
      <c r="C11" s="110">
        <f>C10*60/100</f>
        <v>56.551986463636375</v>
      </c>
      <c r="D11" s="116" t="s">
        <v>27</v>
      </c>
      <c r="E11" s="125" t="s">
        <v>36</v>
      </c>
      <c r="F11" s="119">
        <f>F10*60/100</f>
        <v>119.66825734202179</v>
      </c>
      <c r="G11" s="121" t="s">
        <v>27</v>
      </c>
      <c r="H11" s="142" t="s">
        <v>222</v>
      </c>
      <c r="I11" s="271">
        <f>'Carichi unitari'!G22</f>
        <v>7.7717067187500017</v>
      </c>
      <c r="J11" s="272" t="s">
        <v>12</v>
      </c>
      <c r="K11" s="125" t="s">
        <v>36</v>
      </c>
      <c r="L11" s="119">
        <f>L10*60/100</f>
        <v>130.29663433309088</v>
      </c>
      <c r="M11" s="262" t="s">
        <v>27</v>
      </c>
      <c r="N11" s="142" t="s">
        <v>222</v>
      </c>
      <c r="O11" s="271">
        <f>'Carichi unitari'!G22</f>
        <v>7.7717067187500017</v>
      </c>
      <c r="P11" s="114" t="s">
        <v>12</v>
      </c>
    </row>
    <row r="12" spans="1:16" ht="15.6" x14ac:dyDescent="0.3">
      <c r="A12" s="1"/>
      <c r="B12" s="112" t="s">
        <v>26</v>
      </c>
      <c r="C12" s="110">
        <v>0.02</v>
      </c>
      <c r="D12" s="117"/>
      <c r="E12" s="65" t="s">
        <v>26</v>
      </c>
      <c r="F12" s="66">
        <v>0.02</v>
      </c>
      <c r="G12" s="67"/>
      <c r="H12" s="254" t="s">
        <v>19</v>
      </c>
      <c r="I12" s="487">
        <f>I5*I8+I6*I9+I10+I11</f>
        <v>72.226035868277748</v>
      </c>
      <c r="J12" s="115" t="s">
        <v>12</v>
      </c>
      <c r="K12" s="1"/>
      <c r="L12" s="1"/>
      <c r="M12" s="1"/>
      <c r="N12" s="254" t="s">
        <v>19</v>
      </c>
      <c r="O12" s="110">
        <f>O5*O8+O6*O9+O10+O11</f>
        <v>63.251062383992043</v>
      </c>
      <c r="P12" s="115" t="s">
        <v>12</v>
      </c>
    </row>
    <row r="13" spans="1:16" ht="31.2" x14ac:dyDescent="0.3">
      <c r="A13" s="1"/>
      <c r="B13" s="112" t="s">
        <v>28</v>
      </c>
      <c r="C13" s="110">
        <f>'Carichi unitari'!M3-0.04</f>
        <v>0.19999999999999998</v>
      </c>
      <c r="D13" s="118" t="s">
        <v>30</v>
      </c>
      <c r="E13" s="65" t="s">
        <v>28</v>
      </c>
      <c r="F13" s="66">
        <f>F12*SQRT(F10/0.3)</f>
        <v>0.51568348893487792</v>
      </c>
      <c r="G13" s="67" t="s">
        <v>30</v>
      </c>
      <c r="H13" s="123" t="s">
        <v>93</v>
      </c>
      <c r="I13" s="110">
        <f>I12*I7^2/10</f>
        <v>226.500848482919</v>
      </c>
      <c r="J13" s="118" t="s">
        <v>27</v>
      </c>
      <c r="K13" s="1"/>
      <c r="L13" s="1"/>
      <c r="M13" s="1"/>
      <c r="N13" s="123" t="s">
        <v>93</v>
      </c>
      <c r="O13" s="110">
        <f>O12*O7^2/10</f>
        <v>139.72159680623844</v>
      </c>
      <c r="P13" s="118" t="s">
        <v>27</v>
      </c>
    </row>
    <row r="14" spans="1:16" ht="31.8" thickBot="1" x14ac:dyDescent="0.35">
      <c r="A14" s="1"/>
      <c r="B14" s="124" t="s">
        <v>37</v>
      </c>
      <c r="C14" s="119">
        <f>((C12^2*C10)/C13^2)*100</f>
        <v>94.253310772727318</v>
      </c>
      <c r="D14" s="120" t="s">
        <v>40</v>
      </c>
      <c r="E14" s="65" t="s">
        <v>38</v>
      </c>
      <c r="F14" s="69">
        <f>_xlfn.CEILING.MATH((F13+'Carichi unitari'!M7)*100,10)</f>
        <v>60</v>
      </c>
      <c r="G14" s="65" t="s">
        <v>40</v>
      </c>
      <c r="H14" s="125" t="s">
        <v>36</v>
      </c>
      <c r="I14" s="119">
        <f>I13*60/100</f>
        <v>135.90050908975138</v>
      </c>
      <c r="J14" s="121" t="s">
        <v>27</v>
      </c>
      <c r="K14" s="1"/>
      <c r="L14" s="1"/>
      <c r="M14" s="1"/>
      <c r="N14" s="125" t="s">
        <v>36</v>
      </c>
      <c r="O14" s="119">
        <f>O13*60/100</f>
        <v>83.832958083743065</v>
      </c>
      <c r="P14" s="121" t="s">
        <v>27</v>
      </c>
    </row>
    <row r="15" spans="1:16" ht="15.6" x14ac:dyDescent="0.3">
      <c r="A15" s="1"/>
      <c r="B15" s="1"/>
      <c r="C15" s="1"/>
      <c r="D15" s="1"/>
      <c r="E15" s="1"/>
      <c r="F15" s="1"/>
      <c r="G15" s="1"/>
      <c r="H15" s="65" t="s">
        <v>26</v>
      </c>
      <c r="I15" s="66">
        <v>0.02</v>
      </c>
      <c r="J15" s="68"/>
      <c r="K15" s="1"/>
      <c r="L15" s="1"/>
      <c r="M15" s="1"/>
    </row>
    <row r="16" spans="1:16" ht="15.6" x14ac:dyDescent="0.3">
      <c r="A16" s="1"/>
      <c r="E16" s="1"/>
      <c r="F16" s="1"/>
      <c r="G16" s="1"/>
      <c r="H16" s="65" t="s">
        <v>28</v>
      </c>
      <c r="I16" s="66">
        <f>I15*SQRT(I11/0.3)</f>
        <v>0.10179526327388719</v>
      </c>
      <c r="J16" s="65"/>
      <c r="K16" s="1"/>
      <c r="L16" s="1"/>
      <c r="M16" s="1"/>
    </row>
    <row r="17" spans="1:16" ht="15.6" x14ac:dyDescent="0.3">
      <c r="A17" s="1"/>
      <c r="B17" s="1"/>
      <c r="C17" s="1"/>
      <c r="D17" s="1"/>
      <c r="E17" s="1"/>
      <c r="F17" s="1"/>
      <c r="G17" s="1"/>
      <c r="H17" s="65" t="s">
        <v>38</v>
      </c>
      <c r="I17" s="69">
        <f>_xlfn.CEILING.MATH((I16+'Carichi unitari'!Q7)*100,10)</f>
        <v>20</v>
      </c>
      <c r="J17" s="65" t="s">
        <v>40</v>
      </c>
      <c r="K17" s="1"/>
      <c r="L17" s="1"/>
      <c r="M17" s="1"/>
    </row>
    <row r="18" spans="1:16" ht="15.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6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6" ht="15.6" x14ac:dyDescent="0.3">
      <c r="A20" s="1"/>
      <c r="B20" s="1"/>
      <c r="C20" s="1"/>
      <c r="D20" s="1"/>
      <c r="E20" s="1"/>
      <c r="F20" s="19"/>
      <c r="G20" s="1"/>
      <c r="H20" s="1"/>
      <c r="I20" s="1"/>
      <c r="J20" s="1"/>
      <c r="K20" s="1"/>
      <c r="L20" s="1"/>
      <c r="M20" s="1"/>
    </row>
    <row r="21" spans="1:16" ht="15.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6" ht="15.6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6" ht="15.6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6" x14ac:dyDescent="0.3">
      <c r="A25" s="1"/>
      <c r="B25" s="19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6">
    <mergeCell ref="N4:P4"/>
    <mergeCell ref="B4:D4"/>
    <mergeCell ref="E4:G4"/>
    <mergeCell ref="H4:J4"/>
    <mergeCell ref="B3:J3"/>
    <mergeCell ref="K4:M4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00"/>
  <sheetViews>
    <sheetView topLeftCell="D1" zoomScaleNormal="100" workbookViewId="0">
      <selection activeCell="R16" sqref="R16"/>
    </sheetView>
  </sheetViews>
  <sheetFormatPr defaultRowHeight="14.4" x14ac:dyDescent="0.3"/>
  <cols>
    <col min="1" max="1" width="11.33203125" customWidth="1"/>
    <col min="2" max="2" width="13" customWidth="1"/>
    <col min="7" max="7" width="11.109375" customWidth="1"/>
    <col min="8" max="8" width="11.6640625" customWidth="1"/>
    <col min="13" max="13" width="9.88671875" customWidth="1"/>
    <col min="14" max="14" width="11.88671875" customWidth="1"/>
    <col min="19" max="19" width="9.88671875" customWidth="1"/>
    <col min="20" max="20" width="11.88671875" customWidth="1"/>
    <col min="25" max="25" width="12.6640625" customWidth="1"/>
    <col min="26" max="26" width="14.21875" customWidth="1"/>
    <col min="33" max="33" width="12" bestFit="1" customWidth="1"/>
  </cols>
  <sheetData>
    <row r="1" spans="2:21" ht="15" thickBot="1" x14ac:dyDescent="0.35"/>
    <row r="2" spans="2:21" ht="15" thickBot="1" x14ac:dyDescent="0.35">
      <c r="E2" s="571" t="s">
        <v>453</v>
      </c>
      <c r="F2" s="572"/>
      <c r="G2" s="571" t="s">
        <v>454</v>
      </c>
      <c r="H2" s="572"/>
      <c r="I2" s="571" t="s">
        <v>455</v>
      </c>
      <c r="J2" s="572"/>
      <c r="K2" s="571" t="s">
        <v>456</v>
      </c>
      <c r="L2" s="572"/>
      <c r="M2" s="571" t="s">
        <v>457</v>
      </c>
      <c r="N2" s="572"/>
      <c r="O2" s="571" t="s">
        <v>474</v>
      </c>
      <c r="P2" s="572"/>
    </row>
    <row r="3" spans="2:21" ht="32.4" customHeight="1" thickBot="1" x14ac:dyDescent="0.35">
      <c r="E3" s="452" t="s">
        <v>415</v>
      </c>
      <c r="F3" s="317" t="s">
        <v>416</v>
      </c>
      <c r="G3" s="452" t="s">
        <v>415</v>
      </c>
      <c r="H3" s="317" t="s">
        <v>416</v>
      </c>
      <c r="I3" s="452" t="s">
        <v>415</v>
      </c>
      <c r="J3" s="317" t="s">
        <v>416</v>
      </c>
      <c r="K3" s="452" t="s">
        <v>415</v>
      </c>
      <c r="L3" s="317" t="s">
        <v>416</v>
      </c>
      <c r="M3" s="452" t="s">
        <v>415</v>
      </c>
      <c r="N3" s="317" t="s">
        <v>416</v>
      </c>
      <c r="O3" s="452" t="s">
        <v>415</v>
      </c>
      <c r="P3" s="317" t="s">
        <v>416</v>
      </c>
    </row>
    <row r="4" spans="2:21" ht="14.4" customHeight="1" thickBot="1" x14ac:dyDescent="0.35">
      <c r="B4" s="229" t="s">
        <v>442</v>
      </c>
      <c r="C4" s="561" t="s">
        <v>413</v>
      </c>
      <c r="D4" s="562"/>
      <c r="E4" s="454">
        <f>G46</f>
        <v>17.776536046875002</v>
      </c>
      <c r="F4" s="455">
        <f>H46</f>
        <v>12.82041234375</v>
      </c>
      <c r="G4" s="445">
        <f>M46</f>
        <v>49.365280959415585</v>
      </c>
      <c r="H4" s="449">
        <f>N46</f>
        <v>30.662523814935067</v>
      </c>
      <c r="I4" s="445">
        <f>M46</f>
        <v>49.365280959415585</v>
      </c>
      <c r="J4" s="449">
        <f>N46</f>
        <v>30.662523814935067</v>
      </c>
      <c r="K4" s="445">
        <f>S46</f>
        <v>48.390280959415584</v>
      </c>
      <c r="L4" s="449">
        <f>T46</f>
        <v>29.912523814935067</v>
      </c>
      <c r="M4" s="445">
        <f>S46</f>
        <v>48.390280959415584</v>
      </c>
      <c r="N4" s="449">
        <f>T46</f>
        <v>29.912523814935067</v>
      </c>
      <c r="O4" s="445">
        <f>Y46</f>
        <v>10.290733766233767</v>
      </c>
      <c r="P4" s="449">
        <f>Z46</f>
        <v>7.3390259740259749</v>
      </c>
    </row>
    <row r="5" spans="2:21" ht="14.4" customHeight="1" x14ac:dyDescent="0.3">
      <c r="B5" s="229" t="s">
        <v>443</v>
      </c>
      <c r="C5" s="563" t="s">
        <v>420</v>
      </c>
      <c r="D5" s="564"/>
      <c r="E5" s="446">
        <f>G52</f>
        <v>12.793412987012989</v>
      </c>
      <c r="F5" s="421">
        <f>H52</f>
        <v>7.9487792207792207</v>
      </c>
      <c r="G5" s="446">
        <f>M52</f>
        <v>12.793412987012989</v>
      </c>
      <c r="H5" s="421">
        <f>N52</f>
        <v>7.9487792207792207</v>
      </c>
      <c r="I5" s="446">
        <f>M52</f>
        <v>12.793412987012989</v>
      </c>
      <c r="J5" s="421">
        <f>N52</f>
        <v>7.9487792207792207</v>
      </c>
      <c r="K5" s="446">
        <f>S52</f>
        <v>12.793412987012989</v>
      </c>
      <c r="L5" s="421">
        <f>T52</f>
        <v>7.9487792207792207</v>
      </c>
      <c r="M5" s="446">
        <f>S52</f>
        <v>12.793412987012989</v>
      </c>
      <c r="N5" s="421">
        <f>T52</f>
        <v>7.9487792207792207</v>
      </c>
      <c r="O5" s="446">
        <f>Y52</f>
        <v>11.851412987012989</v>
      </c>
      <c r="P5" s="421">
        <f>Z52</f>
        <v>7.4087792207792207</v>
      </c>
      <c r="Q5" s="253"/>
      <c r="R5" s="127"/>
      <c r="T5" s="66"/>
      <c r="U5" s="69"/>
    </row>
    <row r="6" spans="2:21" ht="14.4" customHeight="1" x14ac:dyDescent="0.3">
      <c r="B6" s="229"/>
      <c r="C6" s="565" t="s">
        <v>414</v>
      </c>
      <c r="D6" s="566"/>
      <c r="E6" s="429">
        <f>G57</f>
        <v>17.776536046875002</v>
      </c>
      <c r="F6" s="417">
        <f>H57</f>
        <v>12.82041234375</v>
      </c>
      <c r="G6" s="429">
        <f>M57</f>
        <v>49.365280959415585</v>
      </c>
      <c r="H6" s="417">
        <f>N57</f>
        <v>30.662523814935067</v>
      </c>
      <c r="I6" s="429">
        <f>M57</f>
        <v>49.365280959415585</v>
      </c>
      <c r="J6" s="417">
        <f>N57</f>
        <v>30.662523814935067</v>
      </c>
      <c r="K6" s="429">
        <f>S57</f>
        <v>48.390280959415584</v>
      </c>
      <c r="L6" s="417">
        <f>T57</f>
        <v>29.912523814935067</v>
      </c>
      <c r="M6" s="429">
        <f>S57</f>
        <v>48.390280959415584</v>
      </c>
      <c r="N6" s="417">
        <f>T57</f>
        <v>29.912523814935067</v>
      </c>
      <c r="O6" s="429">
        <f>Y57</f>
        <v>22.02573376623377</v>
      </c>
      <c r="P6" s="417">
        <f>Z57</f>
        <v>16.029025974025977</v>
      </c>
      <c r="Q6" s="127"/>
    </row>
    <row r="7" spans="2:21" ht="14.4" customHeight="1" thickBot="1" x14ac:dyDescent="0.35">
      <c r="B7" s="229"/>
      <c r="C7" s="567" t="s">
        <v>323</v>
      </c>
      <c r="D7" s="568"/>
      <c r="E7" s="430">
        <f>G62</f>
        <v>17.776536046875002</v>
      </c>
      <c r="F7" s="431">
        <f>H62</f>
        <v>12.82041234375</v>
      </c>
      <c r="G7" s="430">
        <f>M62</f>
        <v>17.776536046875002</v>
      </c>
      <c r="H7" s="431">
        <f>N62</f>
        <v>12.82041234375</v>
      </c>
      <c r="I7" s="430">
        <f>M62</f>
        <v>17.776536046875002</v>
      </c>
      <c r="J7" s="431">
        <f>N62</f>
        <v>12.82041234375</v>
      </c>
      <c r="K7" s="430">
        <f>S62</f>
        <v>16.801536046875</v>
      </c>
      <c r="L7" s="431">
        <f>T62</f>
        <v>12.07041234375</v>
      </c>
      <c r="M7" s="430">
        <f>S62</f>
        <v>16.801536046875</v>
      </c>
      <c r="N7" s="431">
        <f>T62</f>
        <v>12.07041234375</v>
      </c>
      <c r="O7" s="430">
        <f>Y62</f>
        <v>10.290733766233767</v>
      </c>
      <c r="P7" s="431">
        <f>Z62</f>
        <v>7.3390259740259749</v>
      </c>
      <c r="Q7" s="127"/>
    </row>
    <row r="8" spans="2:21" ht="14.4" customHeight="1" x14ac:dyDescent="0.3">
      <c r="B8" s="229" t="s">
        <v>444</v>
      </c>
      <c r="C8" s="569" t="s">
        <v>419</v>
      </c>
      <c r="D8" s="570"/>
      <c r="E8" s="446">
        <f>G68</f>
        <v>12.793412987012989</v>
      </c>
      <c r="F8" s="421">
        <f>H68</f>
        <v>7.9487792207792207</v>
      </c>
      <c r="G8" s="446">
        <f>M68</f>
        <v>12.793412987012989</v>
      </c>
      <c r="H8" s="421">
        <f>N68</f>
        <v>7.9487792207792207</v>
      </c>
      <c r="I8" s="446">
        <f>M68</f>
        <v>12.793412987012989</v>
      </c>
      <c r="J8" s="421">
        <f>N68</f>
        <v>7.9487792207792207</v>
      </c>
      <c r="K8" s="446">
        <f>S68</f>
        <v>12.793412987012989</v>
      </c>
      <c r="L8" s="421">
        <f>T68</f>
        <v>7.9487792207792207</v>
      </c>
      <c r="M8" s="446">
        <f>S68</f>
        <v>12.793412987012989</v>
      </c>
      <c r="N8" s="421">
        <f>T68</f>
        <v>7.9487792207792207</v>
      </c>
      <c r="O8" s="446">
        <f>Y68</f>
        <v>11.851412987012989</v>
      </c>
      <c r="P8" s="421">
        <f>Z68</f>
        <v>7.4087792207792207</v>
      </c>
      <c r="Q8" s="127"/>
    </row>
    <row r="9" spans="2:21" ht="14.4" customHeight="1" x14ac:dyDescent="0.3">
      <c r="B9" s="229"/>
      <c r="C9" s="580" t="s">
        <v>417</v>
      </c>
      <c r="D9" s="581"/>
      <c r="E9" s="429">
        <f>G73</f>
        <v>58.848306975</v>
      </c>
      <c r="F9" s="417">
        <f>H73</f>
        <v>38.299620750000003</v>
      </c>
      <c r="G9" s="429">
        <f>M73</f>
        <v>58.848306975</v>
      </c>
      <c r="H9" s="417">
        <f>N73</f>
        <v>38.299620750000003</v>
      </c>
      <c r="I9" s="429">
        <f>M73</f>
        <v>58.848306975</v>
      </c>
      <c r="J9" s="417">
        <f>N73</f>
        <v>38.299620750000003</v>
      </c>
      <c r="K9" s="429">
        <f>S73</f>
        <v>57.873306975000006</v>
      </c>
      <c r="L9" s="417">
        <f>T73</f>
        <v>37.549620750000003</v>
      </c>
      <c r="M9" s="429">
        <f>S73</f>
        <v>57.873306975000006</v>
      </c>
      <c r="N9" s="417">
        <f>T73</f>
        <v>37.549620750000003</v>
      </c>
      <c r="O9" s="429">
        <f>Y73</f>
        <v>30.185470800000004</v>
      </c>
      <c r="P9" s="417">
        <f>Z73</f>
        <v>19.308516000000001</v>
      </c>
      <c r="Q9" s="127"/>
    </row>
    <row r="10" spans="2:21" ht="14.4" customHeight="1" thickBot="1" x14ac:dyDescent="0.35">
      <c r="B10" s="229"/>
      <c r="C10" s="582" t="s">
        <v>418</v>
      </c>
      <c r="D10" s="583"/>
      <c r="E10" s="430">
        <f>G77</f>
        <v>22.849972952516239</v>
      </c>
      <c r="F10" s="431">
        <f>H77</f>
        <v>15.869209963474027</v>
      </c>
      <c r="G10" s="430">
        <f>M77</f>
        <v>22.849972952516239</v>
      </c>
      <c r="H10" s="431">
        <f>N77</f>
        <v>15.869209963474027</v>
      </c>
      <c r="I10" s="430">
        <f>M77</f>
        <v>22.849972952516239</v>
      </c>
      <c r="J10" s="431">
        <f>N77</f>
        <v>15.869209963474027</v>
      </c>
      <c r="K10" s="430">
        <f>S77</f>
        <v>21.874972952516238</v>
      </c>
      <c r="L10" s="431">
        <f>T77</f>
        <v>15.119209963474026</v>
      </c>
      <c r="M10" s="430">
        <f>S77</f>
        <v>21.874972952516238</v>
      </c>
      <c r="N10" s="431">
        <f>T77</f>
        <v>15.119209963474026</v>
      </c>
      <c r="O10" s="430">
        <f>Y77</f>
        <v>13.986266233766235</v>
      </c>
      <c r="P10" s="431">
        <f>Z77</f>
        <v>9.0509740259740266</v>
      </c>
      <c r="Q10" s="127"/>
    </row>
    <row r="11" spans="2:21" ht="14.4" customHeight="1" x14ac:dyDescent="0.3">
      <c r="B11" s="229" t="s">
        <v>445</v>
      </c>
      <c r="C11" s="578" t="s">
        <v>421</v>
      </c>
      <c r="D11" s="579"/>
      <c r="E11" s="446">
        <f>G84</f>
        <v>17.776536046875002</v>
      </c>
      <c r="F11" s="421">
        <f>H84</f>
        <v>12.82041234375</v>
      </c>
      <c r="G11" s="446">
        <f>M84</f>
        <v>49.365280959415585</v>
      </c>
      <c r="H11" s="421">
        <f>N84</f>
        <v>30.662523814935067</v>
      </c>
      <c r="I11" s="446">
        <f>M84</f>
        <v>49.365280959415585</v>
      </c>
      <c r="J11" s="421">
        <f>N84</f>
        <v>30.662523814935067</v>
      </c>
      <c r="K11" s="446">
        <f>S84</f>
        <v>48.390280959415584</v>
      </c>
      <c r="L11" s="421">
        <f>T84</f>
        <v>29.912523814935067</v>
      </c>
      <c r="M11" s="446">
        <f>S84</f>
        <v>48.390280959415584</v>
      </c>
      <c r="N11" s="421">
        <f>T84</f>
        <v>29.912523814935067</v>
      </c>
      <c r="O11" s="446">
        <f>Y84</f>
        <v>10.290733766233767</v>
      </c>
      <c r="P11" s="421">
        <f>Z84</f>
        <v>7.3390259740259749</v>
      </c>
      <c r="Q11" s="127"/>
    </row>
    <row r="12" spans="2:21" ht="14.4" customHeight="1" x14ac:dyDescent="0.3">
      <c r="B12" s="229"/>
      <c r="C12" s="584" t="s">
        <v>422</v>
      </c>
      <c r="D12" s="577"/>
      <c r="E12" s="429">
        <f>G88</f>
        <v>48.354387813108765</v>
      </c>
      <c r="F12" s="417">
        <f>H88</f>
        <v>32.100298317775973</v>
      </c>
      <c r="G12" s="429">
        <f>M88</f>
        <v>48.354387813108765</v>
      </c>
      <c r="H12" s="417">
        <f>N88</f>
        <v>32.100298317775973</v>
      </c>
      <c r="I12" s="429">
        <f>M88</f>
        <v>48.354387813108765</v>
      </c>
      <c r="J12" s="417">
        <f>N88</f>
        <v>32.100298317775973</v>
      </c>
      <c r="K12" s="429">
        <f>S88</f>
        <v>47.379387813108764</v>
      </c>
      <c r="L12" s="417">
        <f>T88</f>
        <v>31.350298317775973</v>
      </c>
      <c r="M12" s="429">
        <f>S88</f>
        <v>47.379387813108764</v>
      </c>
      <c r="N12" s="417">
        <f>T88</f>
        <v>31.350298317775973</v>
      </c>
      <c r="O12" s="429">
        <f>Y88</f>
        <v>25.225292766233768</v>
      </c>
      <c r="P12" s="417">
        <f>Z88</f>
        <v>16.279455974025975</v>
      </c>
      <c r="Q12" s="127"/>
    </row>
    <row r="13" spans="2:21" ht="14.4" customHeight="1" x14ac:dyDescent="0.3">
      <c r="B13" s="229"/>
      <c r="C13" s="584" t="s">
        <v>423</v>
      </c>
      <c r="D13" s="577"/>
      <c r="E13" s="429">
        <f>G92</f>
        <v>12.793412987012989</v>
      </c>
      <c r="F13" s="417">
        <f>H92</f>
        <v>7.9487792207792207</v>
      </c>
      <c r="G13" s="429">
        <f>M92</f>
        <v>12.793412987012989</v>
      </c>
      <c r="H13" s="417">
        <f>N92</f>
        <v>7.9487792207792207</v>
      </c>
      <c r="I13" s="429">
        <f>M92</f>
        <v>12.793412987012989</v>
      </c>
      <c r="J13" s="417">
        <f>N92</f>
        <v>7.9487792207792207</v>
      </c>
      <c r="K13" s="429">
        <f>S92</f>
        <v>12.793412987012989</v>
      </c>
      <c r="L13" s="417">
        <f>T92</f>
        <v>7.9487792207792207</v>
      </c>
      <c r="M13" s="429">
        <f>S92</f>
        <v>12.793412987012989</v>
      </c>
      <c r="N13" s="417">
        <f>T92</f>
        <v>7.9487792207792207</v>
      </c>
      <c r="O13" s="429">
        <f>Y92</f>
        <v>11.851412987012989</v>
      </c>
      <c r="P13" s="417">
        <f>Z92</f>
        <v>7.4087792207792207</v>
      </c>
      <c r="Q13" s="127"/>
    </row>
    <row r="14" spans="2:21" ht="14.4" customHeight="1" thickBot="1" x14ac:dyDescent="0.35">
      <c r="B14" s="229"/>
      <c r="C14" s="573" t="s">
        <v>424</v>
      </c>
      <c r="D14" s="546"/>
      <c r="E14" s="430">
        <f>G96</f>
        <v>16.878266233766237</v>
      </c>
      <c r="F14" s="431">
        <f>H96</f>
        <v>11.090974025974026</v>
      </c>
      <c r="G14" s="430">
        <f>M96</f>
        <v>16.878266233766237</v>
      </c>
      <c r="H14" s="431">
        <f>N96</f>
        <v>11.090974025974026</v>
      </c>
      <c r="I14" s="430">
        <f>M96</f>
        <v>16.878266233766237</v>
      </c>
      <c r="J14" s="431">
        <f>N96</f>
        <v>11.090974025974026</v>
      </c>
      <c r="K14" s="430">
        <f>S96</f>
        <v>15.903266233766235</v>
      </c>
      <c r="L14" s="431">
        <f>T96</f>
        <v>10.340974025974024</v>
      </c>
      <c r="M14" s="430">
        <f>S96</f>
        <v>15.903266233766235</v>
      </c>
      <c r="N14" s="431">
        <f>T96</f>
        <v>10.340974025974024</v>
      </c>
      <c r="O14" s="430">
        <f>Y96</f>
        <v>13.986266233766235</v>
      </c>
      <c r="P14" s="431">
        <f>Z96</f>
        <v>9.0509740259740266</v>
      </c>
      <c r="Q14" s="127"/>
    </row>
    <row r="15" spans="2:21" ht="14.4" customHeight="1" thickBot="1" x14ac:dyDescent="0.35">
      <c r="B15" s="229" t="s">
        <v>446</v>
      </c>
      <c r="C15" s="574" t="s">
        <v>425</v>
      </c>
      <c r="D15" s="575"/>
      <c r="E15" s="447">
        <f>G103</f>
        <v>17.776536046875002</v>
      </c>
      <c r="F15" s="458">
        <f>H103</f>
        <v>12.82041234375</v>
      </c>
      <c r="G15" s="447">
        <f>M103</f>
        <v>49.365280959415585</v>
      </c>
      <c r="H15" s="458">
        <f>N103</f>
        <v>30.662523814935067</v>
      </c>
      <c r="I15" s="447">
        <f>M103</f>
        <v>49.365280959415585</v>
      </c>
      <c r="J15" s="458">
        <f>N103</f>
        <v>30.662523814935067</v>
      </c>
      <c r="K15" s="447">
        <f>S103</f>
        <v>48.390280959415584</v>
      </c>
      <c r="L15" s="458">
        <f>T103</f>
        <v>29.912523814935067</v>
      </c>
      <c r="M15" s="447">
        <f>S103</f>
        <v>48.390280959415584</v>
      </c>
      <c r="N15" s="458">
        <f>T103</f>
        <v>29.912523814935067</v>
      </c>
      <c r="O15" s="447">
        <f>Y103</f>
        <v>10.290733766233767</v>
      </c>
      <c r="P15" s="458">
        <f>Z103</f>
        <v>7.3390259740259749</v>
      </c>
      <c r="Q15" s="127"/>
    </row>
    <row r="16" spans="2:21" ht="14.4" customHeight="1" thickBot="1" x14ac:dyDescent="0.35">
      <c r="B16" s="229"/>
      <c r="C16" s="576"/>
      <c r="D16" s="577"/>
      <c r="E16" s="456"/>
      <c r="F16" s="457"/>
      <c r="G16" s="456"/>
      <c r="H16" s="457"/>
      <c r="I16" s="456"/>
      <c r="J16" s="457"/>
      <c r="K16" s="456"/>
      <c r="L16" s="457"/>
      <c r="M16" s="456"/>
      <c r="N16" s="457"/>
      <c r="O16" s="456"/>
      <c r="P16" s="457"/>
      <c r="Q16" s="127">
        <v>5.2</v>
      </c>
      <c r="R16">
        <v>5.5</v>
      </c>
    </row>
    <row r="17" spans="2:28" ht="14.4" customHeight="1" x14ac:dyDescent="0.3">
      <c r="B17" s="229" t="s">
        <v>447</v>
      </c>
      <c r="C17" s="578" t="s">
        <v>426</v>
      </c>
      <c r="D17" s="579"/>
      <c r="E17" s="463">
        <f>G113</f>
        <v>34.961600981939938</v>
      </c>
      <c r="F17" s="464">
        <f>H113</f>
        <v>22.624308447646108</v>
      </c>
      <c r="G17" s="463">
        <f>M113</f>
        <v>34.961600981939938</v>
      </c>
      <c r="H17" s="464">
        <f>N113</f>
        <v>22.624308447646108</v>
      </c>
      <c r="I17" s="463">
        <f>M113</f>
        <v>34.961600981939938</v>
      </c>
      <c r="J17" s="464">
        <f>N113</f>
        <v>22.624308447646108</v>
      </c>
      <c r="K17" s="463">
        <f>S113</f>
        <v>33.986600981939937</v>
      </c>
      <c r="L17" s="464">
        <f>T113</f>
        <v>21.874308447646108</v>
      </c>
      <c r="M17" s="463">
        <f>S113</f>
        <v>33.986600981939937</v>
      </c>
      <c r="N17" s="464">
        <f>T113</f>
        <v>21.874308447646108</v>
      </c>
      <c r="O17" s="463">
        <f>Y113</f>
        <v>32.220881493506496</v>
      </c>
      <c r="P17" s="464">
        <f>Z113</f>
        <v>19.939139610389613</v>
      </c>
      <c r="Q17" s="127">
        <f>E17*$Q$16^2/10</f>
        <v>94.536169055165601</v>
      </c>
      <c r="R17" s="492">
        <f t="shared" ref="R17:AB17" si="0">F17*$Q$16^2/10</f>
        <v>61.176130042435076</v>
      </c>
      <c r="S17" s="127">
        <f t="shared" si="0"/>
        <v>94.536169055165601</v>
      </c>
      <c r="T17" s="492">
        <f t="shared" si="0"/>
        <v>61.176130042435076</v>
      </c>
      <c r="U17" s="127">
        <f t="shared" si="0"/>
        <v>94.536169055165601</v>
      </c>
      <c r="V17" s="492">
        <f t="shared" si="0"/>
        <v>61.176130042435076</v>
      </c>
      <c r="W17" s="127">
        <f t="shared" si="0"/>
        <v>91.899769055165592</v>
      </c>
      <c r="X17" s="492">
        <f t="shared" si="0"/>
        <v>59.148130042435085</v>
      </c>
      <c r="Y17" s="127">
        <f t="shared" si="0"/>
        <v>91.899769055165592</v>
      </c>
      <c r="Z17" s="492">
        <f t="shared" si="0"/>
        <v>59.148130042435085</v>
      </c>
      <c r="AA17" s="127">
        <f t="shared" si="0"/>
        <v>87.125263558441574</v>
      </c>
      <c r="AB17" s="127">
        <f t="shared" si="0"/>
        <v>53.915433506493528</v>
      </c>
    </row>
    <row r="18" spans="2:28" ht="14.4" customHeight="1" thickBot="1" x14ac:dyDescent="0.35">
      <c r="B18" s="229"/>
      <c r="C18" s="573" t="s">
        <v>427</v>
      </c>
      <c r="D18" s="546"/>
      <c r="E18" s="465">
        <f>G118</f>
        <v>37.109734098823061</v>
      </c>
      <c r="F18" s="466">
        <f>H118</f>
        <v>23.849795460633125</v>
      </c>
      <c r="G18" s="465">
        <f>M118</f>
        <v>56.330117145956322</v>
      </c>
      <c r="H18" s="466">
        <f>N118</f>
        <v>34.647013189197175</v>
      </c>
      <c r="I18" s="465">
        <f>M118</f>
        <v>56.330117145956322</v>
      </c>
      <c r="J18" s="466">
        <f>N118</f>
        <v>34.647013189197175</v>
      </c>
      <c r="K18" s="465">
        <f>S118</f>
        <v>55.355117145956328</v>
      </c>
      <c r="L18" s="466">
        <f>T118</f>
        <v>33.897013189197168</v>
      </c>
      <c r="M18" s="465">
        <f>S118</f>
        <v>55.355117145956328</v>
      </c>
      <c r="N18" s="466">
        <f>T118</f>
        <v>33.897013189197168</v>
      </c>
      <c r="O18" s="465">
        <f>Y118</f>
        <v>31.303948051948062</v>
      </c>
      <c r="P18" s="466">
        <f>Z118</f>
        <v>18.806883116883121</v>
      </c>
      <c r="Q18" s="127">
        <f>E18*$R$16^2/10</f>
        <v>112.25694564893976</v>
      </c>
      <c r="R18" s="127">
        <f t="shared" ref="R18:Z18" si="1">F18*$R$16^2/10</f>
        <v>72.145631268415201</v>
      </c>
      <c r="S18" s="127">
        <f t="shared" si="1"/>
        <v>170.39860436651787</v>
      </c>
      <c r="T18" s="127">
        <f t="shared" si="1"/>
        <v>104.80721489732146</v>
      </c>
      <c r="U18" s="127">
        <f t="shared" si="1"/>
        <v>170.39860436651787</v>
      </c>
      <c r="V18" s="127">
        <f t="shared" si="1"/>
        <v>104.80721489732146</v>
      </c>
      <c r="W18" s="127">
        <f t="shared" si="1"/>
        <v>167.4492293665179</v>
      </c>
      <c r="X18" s="127">
        <f t="shared" si="1"/>
        <v>102.53846489732143</v>
      </c>
      <c r="Y18" s="127">
        <f t="shared" si="1"/>
        <v>167.4492293665179</v>
      </c>
      <c r="Z18" s="127">
        <f t="shared" si="1"/>
        <v>102.53846489732143</v>
      </c>
      <c r="AA18" s="127">
        <f t="shared" ref="AA18:AB18" si="2">O18*$R$16^2/10</f>
        <v>94.694442857142889</v>
      </c>
      <c r="AB18" s="127">
        <f t="shared" si="2"/>
        <v>56.890821428571442</v>
      </c>
    </row>
    <row r="19" spans="2:28" ht="14.4" customHeight="1" x14ac:dyDescent="0.3">
      <c r="B19" s="229" t="s">
        <v>448</v>
      </c>
      <c r="C19" s="593" t="s">
        <v>428</v>
      </c>
      <c r="D19" s="594"/>
      <c r="E19" s="446">
        <f>G125</f>
        <v>60.985409090909094</v>
      </c>
      <c r="F19" s="421">
        <f>H125</f>
        <v>36.859545454545461</v>
      </c>
      <c r="G19" s="446">
        <f>M125</f>
        <v>60.985409090909094</v>
      </c>
      <c r="H19" s="421">
        <f>N125</f>
        <v>36.859545454545461</v>
      </c>
      <c r="I19" s="446">
        <f>M125</f>
        <v>60.985409090909094</v>
      </c>
      <c r="J19" s="421">
        <f>N125</f>
        <v>36.859545454545461</v>
      </c>
      <c r="K19" s="446">
        <f>S125</f>
        <v>60.010409090909093</v>
      </c>
      <c r="L19" s="421">
        <f>T125</f>
        <v>36.109545454545461</v>
      </c>
      <c r="M19" s="446">
        <f>S125</f>
        <v>60.010409090909093</v>
      </c>
      <c r="N19" s="421">
        <f>T125</f>
        <v>36.109545454545461</v>
      </c>
      <c r="O19" s="446">
        <f>Y125</f>
        <v>53.442239285714287</v>
      </c>
      <c r="P19" s="421">
        <f>Z125</f>
        <v>32.272107142857145</v>
      </c>
      <c r="Q19" s="127"/>
    </row>
    <row r="20" spans="2:28" ht="15.6" x14ac:dyDescent="0.3">
      <c r="B20" s="229"/>
      <c r="C20" s="595" t="s">
        <v>429</v>
      </c>
      <c r="D20" s="551"/>
      <c r="E20" s="429">
        <f>G130</f>
        <v>57.548396103896103</v>
      </c>
      <c r="F20" s="417">
        <f>H130</f>
        <v>34.898766233766239</v>
      </c>
      <c r="G20" s="429">
        <f>M130</f>
        <v>57.548396103896103</v>
      </c>
      <c r="H20" s="417">
        <f>N130</f>
        <v>34.898766233766239</v>
      </c>
      <c r="I20" s="429">
        <f>M130</f>
        <v>57.548396103896103</v>
      </c>
      <c r="J20" s="417">
        <f>N130</f>
        <v>34.898766233766239</v>
      </c>
      <c r="K20" s="429">
        <f>S130</f>
        <v>56.573396103896101</v>
      </c>
      <c r="L20" s="417">
        <f>T130</f>
        <v>34.148766233766239</v>
      </c>
      <c r="M20" s="429">
        <f>S130</f>
        <v>56.573396103896101</v>
      </c>
      <c r="N20" s="417">
        <f>T130</f>
        <v>34.148766233766239</v>
      </c>
      <c r="O20" s="429">
        <f>Y130</f>
        <v>50.607079545454553</v>
      </c>
      <c r="P20" s="417">
        <f>Z130</f>
        <v>30.603522727272729</v>
      </c>
      <c r="Q20" s="127"/>
    </row>
    <row r="21" spans="2:28" ht="16.2" thickBot="1" x14ac:dyDescent="0.35">
      <c r="B21" s="229"/>
      <c r="C21" s="596" t="s">
        <v>430</v>
      </c>
      <c r="D21" s="597"/>
      <c r="E21" s="430">
        <f>G135</f>
        <v>49.018769480519488</v>
      </c>
      <c r="F21" s="431">
        <f>H135</f>
        <v>29.253668831168834</v>
      </c>
      <c r="G21" s="430">
        <f>M135</f>
        <v>49.018769480519488</v>
      </c>
      <c r="H21" s="431">
        <f>N135</f>
        <v>29.253668831168834</v>
      </c>
      <c r="I21" s="430">
        <f>M135</f>
        <v>49.018769480519488</v>
      </c>
      <c r="J21" s="431">
        <f>N135</f>
        <v>29.253668831168834</v>
      </c>
      <c r="K21" s="430">
        <f>S135</f>
        <v>48.043769480519487</v>
      </c>
      <c r="L21" s="431">
        <f>T135</f>
        <v>28.503668831168834</v>
      </c>
      <c r="M21" s="430">
        <f>S135</f>
        <v>48.043769480519487</v>
      </c>
      <c r="N21" s="431">
        <f>T135</f>
        <v>28.503668831168834</v>
      </c>
      <c r="O21" s="430">
        <f>Y135</f>
        <v>53.442239285714287</v>
      </c>
      <c r="P21" s="431">
        <f>Z135</f>
        <v>32.272107142857145</v>
      </c>
      <c r="Q21" s="127"/>
    </row>
    <row r="22" spans="2:28" ht="15.6" x14ac:dyDescent="0.3">
      <c r="B22" s="229" t="s">
        <v>449</v>
      </c>
      <c r="C22" s="587" t="s">
        <v>431</v>
      </c>
      <c r="D22" s="588"/>
      <c r="E22" s="459">
        <f>G142</f>
        <v>31.442505420048704</v>
      </c>
      <c r="F22" s="460">
        <f>H142</f>
        <v>20.771158015422081</v>
      </c>
      <c r="G22" s="459">
        <f>M142</f>
        <v>31.442505420048704</v>
      </c>
      <c r="H22" s="460">
        <f>N142</f>
        <v>20.771158015422081</v>
      </c>
      <c r="I22" s="459">
        <f>M142</f>
        <v>31.442505420048704</v>
      </c>
      <c r="J22" s="460">
        <f>N142</f>
        <v>20.771158015422081</v>
      </c>
      <c r="K22" s="459">
        <f>S142</f>
        <v>30.467505420048703</v>
      </c>
      <c r="L22" s="460">
        <f>T142</f>
        <v>20.021158015422081</v>
      </c>
      <c r="M22" s="459">
        <f>S142</f>
        <v>30.467505420048703</v>
      </c>
      <c r="N22" s="460">
        <f>T142</f>
        <v>20.021158015422081</v>
      </c>
      <c r="O22" s="459">
        <f>Y142</f>
        <v>24.081851948051956</v>
      </c>
      <c r="P22" s="460">
        <f>Z142</f>
        <v>15.109116883116885</v>
      </c>
      <c r="Q22" s="127"/>
    </row>
    <row r="23" spans="2:28" ht="15.6" x14ac:dyDescent="0.3">
      <c r="B23" s="229"/>
      <c r="C23" s="589" t="s">
        <v>432</v>
      </c>
      <c r="D23" s="590"/>
      <c r="E23" s="333">
        <f>G147</f>
        <v>52.923836588879873</v>
      </c>
      <c r="F23" s="334">
        <f>H147</f>
        <v>33.026028145292209</v>
      </c>
      <c r="G23" s="333">
        <f>M147</f>
        <v>52.923836588879873</v>
      </c>
      <c r="H23" s="334">
        <f>N147</f>
        <v>33.026028145292209</v>
      </c>
      <c r="I23" s="333">
        <f>M147</f>
        <v>52.923836588879873</v>
      </c>
      <c r="J23" s="334">
        <f>N147</f>
        <v>33.026028145292209</v>
      </c>
      <c r="K23" s="333">
        <f>S147</f>
        <v>51.948836588879871</v>
      </c>
      <c r="L23" s="334">
        <f>T147</f>
        <v>32.276028145292209</v>
      </c>
      <c r="M23" s="333">
        <f>S147</f>
        <v>51.948836588879871</v>
      </c>
      <c r="N23" s="334">
        <f>T147</f>
        <v>32.276028145292209</v>
      </c>
      <c r="O23" s="333">
        <f>Y147</f>
        <v>47.063129870129877</v>
      </c>
      <c r="P23" s="334">
        <f>Z147</f>
        <v>28.517792207792208</v>
      </c>
      <c r="Q23" s="127"/>
    </row>
    <row r="24" spans="2:28" ht="16.2" thickBot="1" x14ac:dyDescent="0.35">
      <c r="B24" s="229"/>
      <c r="C24" s="591" t="s">
        <v>433</v>
      </c>
      <c r="D24" s="592"/>
      <c r="E24" s="461">
        <f>G152</f>
        <v>23.284429141233772</v>
      </c>
      <c r="F24" s="462">
        <f>H152</f>
        <v>15.695714724025976</v>
      </c>
      <c r="G24" s="461">
        <f>M152</f>
        <v>39.77721714123377</v>
      </c>
      <c r="H24" s="462">
        <f>N152</f>
        <v>28.382474724025975</v>
      </c>
      <c r="I24" s="461">
        <f>M152</f>
        <v>39.77721714123377</v>
      </c>
      <c r="J24" s="462">
        <f>N152</f>
        <v>28.382474724025975</v>
      </c>
      <c r="K24" s="461">
        <f>S152</f>
        <v>38.802217141233768</v>
      </c>
      <c r="L24" s="462">
        <f>T152</f>
        <v>27.632474724025975</v>
      </c>
      <c r="M24" s="461">
        <f>S152</f>
        <v>38.802217141233768</v>
      </c>
      <c r="N24" s="462">
        <f>T152</f>
        <v>27.632474724025975</v>
      </c>
      <c r="O24" s="461">
        <f>Y152</f>
        <v>19.043764141233769</v>
      </c>
      <c r="P24" s="462">
        <f>Z152</f>
        <v>12.433664724025977</v>
      </c>
      <c r="Q24" s="127"/>
    </row>
    <row r="25" spans="2:28" ht="15.6" x14ac:dyDescent="0.3">
      <c r="B25" s="229" t="s">
        <v>450</v>
      </c>
      <c r="C25" s="593" t="s">
        <v>434</v>
      </c>
      <c r="D25" s="594"/>
      <c r="E25" s="318">
        <f>G159</f>
        <v>58.448396103896101</v>
      </c>
      <c r="F25" s="320">
        <f>H159</f>
        <v>35.498766233766233</v>
      </c>
      <c r="G25" s="318">
        <f>M159</f>
        <v>53.25212987012987</v>
      </c>
      <c r="H25" s="320">
        <f>N159</f>
        <v>32.447792207792212</v>
      </c>
      <c r="I25" s="318">
        <f>M159</f>
        <v>53.25212987012987</v>
      </c>
      <c r="J25" s="320">
        <f>N159</f>
        <v>32.447792207792212</v>
      </c>
      <c r="K25" s="318">
        <f>S159</f>
        <v>52.277129870129869</v>
      </c>
      <c r="L25" s="320">
        <f>T159</f>
        <v>31.697792207792208</v>
      </c>
      <c r="M25" s="318">
        <f>S159</f>
        <v>52.277129870129869</v>
      </c>
      <c r="N25" s="320">
        <f>T159</f>
        <v>31.697792207792208</v>
      </c>
      <c r="O25" s="318">
        <f>Y159</f>
        <v>47.063129870129877</v>
      </c>
      <c r="P25" s="320">
        <f>Z159</f>
        <v>28.517792207792208</v>
      </c>
      <c r="Q25" s="127"/>
    </row>
    <row r="26" spans="2:28" ht="15.6" x14ac:dyDescent="0.3">
      <c r="B26" s="229"/>
      <c r="C26" s="595" t="s">
        <v>435</v>
      </c>
      <c r="D26" s="551"/>
      <c r="E26" s="299">
        <f>G164</f>
        <v>44.765760310064934</v>
      </c>
      <c r="F26" s="281">
        <f>H164</f>
        <v>27.95058485389611</v>
      </c>
      <c r="G26" s="299">
        <f>M164</f>
        <v>56.962282076298706</v>
      </c>
      <c r="H26" s="281">
        <f>N164</f>
        <v>38.186370827922076</v>
      </c>
      <c r="I26" s="299">
        <f>M164</f>
        <v>56.962282076298706</v>
      </c>
      <c r="J26" s="281">
        <f>N164</f>
        <v>38.186370827922076</v>
      </c>
      <c r="K26" s="299">
        <f>S164</f>
        <v>55.987282076298705</v>
      </c>
      <c r="L26" s="281">
        <f>T164</f>
        <v>37.436370827922076</v>
      </c>
      <c r="M26" s="299">
        <f>S164</f>
        <v>55.987282076298705</v>
      </c>
      <c r="N26" s="281">
        <f>T164</f>
        <v>37.436370827922076</v>
      </c>
      <c r="O26" s="299">
        <f>Y164</f>
        <v>37.94482907629871</v>
      </c>
      <c r="P26" s="281">
        <f>Z164</f>
        <v>23.557560827922082</v>
      </c>
      <c r="Q26" s="127"/>
    </row>
    <row r="27" spans="2:28" ht="16.2" thickBot="1" x14ac:dyDescent="0.35">
      <c r="B27" s="229"/>
      <c r="C27" s="596" t="s">
        <v>436</v>
      </c>
      <c r="D27" s="597"/>
      <c r="E27" s="300">
        <f>G169</f>
        <v>35.738771653814936</v>
      </c>
      <c r="F27" s="453">
        <f>H169</f>
        <v>23.222132041396108</v>
      </c>
      <c r="G27" s="300">
        <f>M169</f>
        <v>35.738771653814936</v>
      </c>
      <c r="H27" s="453">
        <f>N169</f>
        <v>23.222132041396108</v>
      </c>
      <c r="I27" s="300">
        <f>M169</f>
        <v>35.738771653814936</v>
      </c>
      <c r="J27" s="453">
        <f>N169</f>
        <v>23.222132041396108</v>
      </c>
      <c r="K27" s="300">
        <f>S169</f>
        <v>34.763771653814935</v>
      </c>
      <c r="L27" s="453">
        <f>T169</f>
        <v>22.472132041396108</v>
      </c>
      <c r="M27" s="300">
        <f>S169</f>
        <v>34.763771653814935</v>
      </c>
      <c r="N27" s="453">
        <f>T169</f>
        <v>22.472132041396108</v>
      </c>
      <c r="O27" s="300">
        <f>Y169</f>
        <v>32.1071314935065</v>
      </c>
      <c r="P27" s="453">
        <f>Z169</f>
        <v>19.851639610389611</v>
      </c>
      <c r="Q27" s="127"/>
    </row>
    <row r="28" spans="2:28" ht="15.6" x14ac:dyDescent="0.3">
      <c r="B28" s="229" t="s">
        <v>451</v>
      </c>
      <c r="C28" s="593" t="s">
        <v>437</v>
      </c>
      <c r="D28" s="594"/>
      <c r="E28" s="318">
        <f>G176</f>
        <v>56.689142857142855</v>
      </c>
      <c r="F28" s="320">
        <f>H176</f>
        <v>34.408571428571435</v>
      </c>
      <c r="G28" s="318">
        <f>M176</f>
        <v>56.689142857142855</v>
      </c>
      <c r="H28" s="320">
        <f>N176</f>
        <v>34.408571428571435</v>
      </c>
      <c r="I28" s="318">
        <f>M176</f>
        <v>56.689142857142855</v>
      </c>
      <c r="J28" s="320">
        <f>N176</f>
        <v>34.408571428571435</v>
      </c>
      <c r="K28" s="318">
        <f>S176</f>
        <v>55.714142857142853</v>
      </c>
      <c r="L28" s="320">
        <f>T176</f>
        <v>33.658571428571435</v>
      </c>
      <c r="M28" s="318">
        <f>S176</f>
        <v>55.714142857142853</v>
      </c>
      <c r="N28" s="320">
        <f>T176</f>
        <v>33.658571428571435</v>
      </c>
      <c r="O28" s="318">
        <f>Y176</f>
        <v>49.898289610389618</v>
      </c>
      <c r="P28" s="320">
        <f>Z176</f>
        <v>30.186376623376628</v>
      </c>
      <c r="Q28" s="599" t="s">
        <v>84</v>
      </c>
      <c r="R28" s="598" t="s">
        <v>464</v>
      </c>
      <c r="S28" s="600" t="s">
        <v>26</v>
      </c>
      <c r="T28" s="600" t="s">
        <v>28</v>
      </c>
      <c r="U28" s="600" t="s">
        <v>465</v>
      </c>
    </row>
    <row r="29" spans="2:28" ht="15.6" x14ac:dyDescent="0.3">
      <c r="B29" s="229"/>
      <c r="C29" s="595" t="s">
        <v>438</v>
      </c>
      <c r="D29" s="551"/>
      <c r="E29" s="299">
        <f>G181</f>
        <v>56.540681090909096</v>
      </c>
      <c r="F29" s="281">
        <f>H181</f>
        <v>33.896393454545461</v>
      </c>
      <c r="G29" s="299">
        <f>M181</f>
        <v>56.540681090909096</v>
      </c>
      <c r="H29" s="281">
        <f>N181</f>
        <v>33.896393454545461</v>
      </c>
      <c r="I29" s="299">
        <f>M181</f>
        <v>56.540681090909096</v>
      </c>
      <c r="J29" s="281">
        <f>N181</f>
        <v>33.896393454545461</v>
      </c>
      <c r="K29" s="299">
        <f>S181</f>
        <v>55.565681090909095</v>
      </c>
      <c r="L29" s="281">
        <f>T181</f>
        <v>33.146393454545461</v>
      </c>
      <c r="M29" s="299">
        <f>S181</f>
        <v>55.565681090909095</v>
      </c>
      <c r="N29" s="281">
        <f>T181</f>
        <v>33.146393454545461</v>
      </c>
      <c r="O29" s="299">
        <f>Y181</f>
        <v>53.442239285714287</v>
      </c>
      <c r="P29" s="281">
        <f>Z181</f>
        <v>32.272107142857145</v>
      </c>
      <c r="Q29" s="599"/>
      <c r="R29" s="598"/>
      <c r="S29" s="600"/>
      <c r="T29" s="600"/>
      <c r="U29" s="600"/>
    </row>
    <row r="30" spans="2:28" ht="16.2" thickBot="1" x14ac:dyDescent="0.35">
      <c r="B30" s="229"/>
      <c r="C30" s="595" t="s">
        <v>439</v>
      </c>
      <c r="D30" s="551"/>
      <c r="E30" s="300">
        <f>G186</f>
        <v>44.38637012987013</v>
      </c>
      <c r="F30" s="453">
        <f>H186</f>
        <v>26.117207792207793</v>
      </c>
      <c r="G30" s="300">
        <f>M186</f>
        <v>44.38637012987013</v>
      </c>
      <c r="H30" s="453">
        <f>N186</f>
        <v>26.117207792207793</v>
      </c>
      <c r="I30" s="300">
        <f>M186</f>
        <v>44.38637012987013</v>
      </c>
      <c r="J30" s="453">
        <f>N186</f>
        <v>26.117207792207793</v>
      </c>
      <c r="K30" s="300">
        <f>S186</f>
        <v>44.38637012987013</v>
      </c>
      <c r="L30" s="453">
        <f>T186</f>
        <v>26.117207792207793</v>
      </c>
      <c r="M30" s="300">
        <f>S186</f>
        <v>44.38637012987013</v>
      </c>
      <c r="N30" s="453">
        <f>T186</f>
        <v>26.117207792207793</v>
      </c>
      <c r="O30" s="300">
        <f>Y186</f>
        <v>48.418970129870132</v>
      </c>
      <c r="P30" s="453">
        <f>Z186</f>
        <v>29.219207792207794</v>
      </c>
      <c r="Q30" s="253">
        <v>4.7</v>
      </c>
      <c r="R30" s="127">
        <f>O30*$Q$30^2/10</f>
        <v>106.95750501688315</v>
      </c>
      <c r="S30">
        <v>1.9E-2</v>
      </c>
      <c r="T30">
        <f>'Carichi unitari'!$M$3-0.04</f>
        <v>0.19999999999999998</v>
      </c>
      <c r="U30">
        <f>(S30^2*R30/(T30^2))*100</f>
        <v>96.52914827773705</v>
      </c>
    </row>
    <row r="31" spans="2:28" ht="15.6" x14ac:dyDescent="0.3">
      <c r="B31" s="229" t="s">
        <v>452</v>
      </c>
      <c r="C31" s="593" t="s">
        <v>440</v>
      </c>
      <c r="D31" s="601"/>
      <c r="E31" s="318">
        <f>G193</f>
        <v>30.665334748173706</v>
      </c>
      <c r="F31" s="320">
        <f>H193</f>
        <v>20.173334421672081</v>
      </c>
      <c r="G31" s="318">
        <f>M193</f>
        <v>30.665334748173706</v>
      </c>
      <c r="H31" s="320">
        <f>N193</f>
        <v>20.173334421672081</v>
      </c>
      <c r="I31" s="318">
        <f>M193</f>
        <v>30.665334748173706</v>
      </c>
      <c r="J31" s="320">
        <f>N193</f>
        <v>20.173334421672081</v>
      </c>
      <c r="K31" s="318">
        <f>S193</f>
        <v>29.690334748173704</v>
      </c>
      <c r="L31" s="320">
        <f>T193</f>
        <v>19.423334421672081</v>
      </c>
      <c r="M31" s="318">
        <f>S193</f>
        <v>29.690334748173704</v>
      </c>
      <c r="N31" s="320">
        <f>T193</f>
        <v>19.423334421672081</v>
      </c>
      <c r="O31" s="318">
        <f>Y193</f>
        <v>27.334351948051957</v>
      </c>
      <c r="P31" s="320">
        <f>Z193</f>
        <v>17.034116883116884</v>
      </c>
      <c r="Z31" s="253"/>
      <c r="AA31" s="127"/>
    </row>
    <row r="32" spans="2:28" ht="16.2" thickBot="1" x14ac:dyDescent="0.35">
      <c r="B32" s="229"/>
      <c r="C32" s="585" t="s">
        <v>441</v>
      </c>
      <c r="D32" s="586"/>
      <c r="E32" s="300">
        <f>G198</f>
        <v>32.383841241680202</v>
      </c>
      <c r="F32" s="453">
        <f>H198</f>
        <v>21.153724032061689</v>
      </c>
      <c r="G32" s="300">
        <f>M198</f>
        <v>51.604224288813469</v>
      </c>
      <c r="H32" s="453">
        <f>N198</f>
        <v>31.950941760625742</v>
      </c>
      <c r="I32" s="300">
        <f>M198</f>
        <v>51.604224288813469</v>
      </c>
      <c r="J32" s="453">
        <f>N198</f>
        <v>31.950941760625742</v>
      </c>
      <c r="K32" s="300">
        <f>S198</f>
        <v>50.629224288813461</v>
      </c>
      <c r="L32" s="453">
        <f>T198</f>
        <v>31.200941760625742</v>
      </c>
      <c r="M32" s="300">
        <f>S198</f>
        <v>50.629224288813461</v>
      </c>
      <c r="N32" s="453">
        <f>T198</f>
        <v>31.200941760625742</v>
      </c>
      <c r="O32" s="300">
        <f>Y198</f>
        <v>26.691805194805202</v>
      </c>
      <c r="P32" s="453">
        <f>Z198</f>
        <v>16.198311688311691</v>
      </c>
      <c r="Q32" s="127"/>
    </row>
    <row r="33" spans="1:26" x14ac:dyDescent="0.3">
      <c r="C33" s="451"/>
    </row>
    <row r="35" spans="1:26" ht="15.6" x14ac:dyDescent="0.3">
      <c r="C35" s="506" t="s">
        <v>0</v>
      </c>
      <c r="D35" s="506"/>
      <c r="E35" s="297" t="s">
        <v>22</v>
      </c>
      <c r="F35" s="294" t="s">
        <v>23</v>
      </c>
      <c r="G35" s="294" t="s">
        <v>24</v>
      </c>
    </row>
    <row r="36" spans="1:26" ht="18.600000000000001" x14ac:dyDescent="0.4">
      <c r="C36" s="95" t="s">
        <v>1</v>
      </c>
      <c r="D36" s="95" t="s">
        <v>2</v>
      </c>
      <c r="E36" s="98" t="s">
        <v>14</v>
      </c>
      <c r="F36" s="294">
        <f>'Carichi unitari'!$H$4</f>
        <v>0.3</v>
      </c>
      <c r="G36" s="294">
        <v>0.6</v>
      </c>
    </row>
    <row r="37" spans="1:26" x14ac:dyDescent="0.3">
      <c r="C37" s="294">
        <f>'Carichi unitari'!$C$4</f>
        <v>1.3</v>
      </c>
      <c r="D37" s="294">
        <f>'Carichi unitari'!$D$4</f>
        <v>1.5</v>
      </c>
    </row>
    <row r="38" spans="1:26" x14ac:dyDescent="0.3">
      <c r="C38" s="293"/>
      <c r="D38" s="293"/>
    </row>
    <row r="39" spans="1:26" ht="15" thickBot="1" x14ac:dyDescent="0.35">
      <c r="E39" s="546" t="s">
        <v>12</v>
      </c>
      <c r="F39" s="546"/>
    </row>
    <row r="40" spans="1:26" ht="16.2" thickBot="1" x14ac:dyDescent="0.35">
      <c r="C40" s="543" t="s">
        <v>248</v>
      </c>
      <c r="D40" s="544"/>
      <c r="E40" s="544"/>
      <c r="F40" s="544"/>
      <c r="G40" s="544"/>
      <c r="H40" s="545"/>
      <c r="I40" s="538" t="s">
        <v>249</v>
      </c>
      <c r="J40" s="539"/>
      <c r="K40" s="539"/>
      <c r="L40" s="539"/>
      <c r="M40" s="539"/>
      <c r="N40" s="540"/>
      <c r="O40" s="538" t="s">
        <v>250</v>
      </c>
      <c r="P40" s="539"/>
      <c r="Q40" s="539"/>
      <c r="R40" s="539"/>
      <c r="S40" s="539"/>
      <c r="T40" s="540"/>
      <c r="U40" s="538" t="s">
        <v>252</v>
      </c>
      <c r="V40" s="539"/>
      <c r="W40" s="539"/>
      <c r="X40" s="539"/>
      <c r="Y40" s="539"/>
      <c r="Z40" s="540"/>
    </row>
    <row r="41" spans="1:26" ht="29.4" customHeight="1" thickBot="1" x14ac:dyDescent="0.35">
      <c r="B41" s="150"/>
      <c r="C41" s="313" t="s">
        <v>241</v>
      </c>
      <c r="D41" s="314" t="s">
        <v>242</v>
      </c>
      <c r="E41" s="315" t="s">
        <v>8</v>
      </c>
      <c r="F41" s="315" t="s">
        <v>9</v>
      </c>
      <c r="G41" s="316" t="s">
        <v>253</v>
      </c>
      <c r="H41" s="317" t="s">
        <v>254</v>
      </c>
      <c r="I41" s="322" t="s">
        <v>241</v>
      </c>
      <c r="J41" s="323" t="s">
        <v>242</v>
      </c>
      <c r="K41" s="324" t="s">
        <v>8</v>
      </c>
      <c r="L41" s="324" t="s">
        <v>9</v>
      </c>
      <c r="M41" s="325" t="s">
        <v>253</v>
      </c>
      <c r="N41" s="326" t="s">
        <v>254</v>
      </c>
      <c r="O41" s="327" t="s">
        <v>241</v>
      </c>
      <c r="P41" s="323" t="s">
        <v>242</v>
      </c>
      <c r="Q41" s="324" t="s">
        <v>8</v>
      </c>
      <c r="R41" s="324" t="s">
        <v>9</v>
      </c>
      <c r="S41" s="325" t="s">
        <v>253</v>
      </c>
      <c r="T41" s="326" t="s">
        <v>254</v>
      </c>
      <c r="U41" s="327" t="s">
        <v>241</v>
      </c>
      <c r="V41" s="323" t="s">
        <v>242</v>
      </c>
      <c r="W41" s="324" t="s">
        <v>8</v>
      </c>
      <c r="X41" s="324" t="s">
        <v>9</v>
      </c>
      <c r="Y41" s="325" t="s">
        <v>243</v>
      </c>
      <c r="Z41" s="326" t="s">
        <v>244</v>
      </c>
    </row>
    <row r="42" spans="1:26" x14ac:dyDescent="0.3">
      <c r="A42" s="533" t="s">
        <v>268</v>
      </c>
      <c r="B42" s="337" t="s">
        <v>42</v>
      </c>
      <c r="C42" s="318">
        <v>0.5</v>
      </c>
      <c r="D42" s="319"/>
      <c r="E42" s="378">
        <f>'Carichi unitari'!$C$10*C42</f>
        <v>2.1509740259740262</v>
      </c>
      <c r="F42" s="319">
        <f>C42*'Carichi unitari'!$D$10</f>
        <v>1</v>
      </c>
      <c r="G42" s="378">
        <f>E42*$C$37+F42*$D$37</f>
        <v>4.2962662337662341</v>
      </c>
      <c r="H42" s="321">
        <f>E42+F42*$F$36</f>
        <v>2.450974025974026</v>
      </c>
      <c r="I42" s="318"/>
      <c r="J42" s="319"/>
      <c r="K42" s="319"/>
      <c r="L42" s="319"/>
      <c r="M42" s="319"/>
      <c r="N42" s="321"/>
      <c r="O42" s="318"/>
      <c r="P42" s="319"/>
      <c r="Q42" s="319"/>
      <c r="R42" s="319"/>
      <c r="S42" s="319"/>
      <c r="T42" s="321"/>
      <c r="U42" s="318"/>
      <c r="V42" s="319"/>
      <c r="W42" s="319"/>
      <c r="X42" s="319"/>
      <c r="Y42" s="319"/>
      <c r="Z42" s="321"/>
    </row>
    <row r="43" spans="1:26" x14ac:dyDescent="0.3">
      <c r="A43" s="534"/>
      <c r="B43" s="338" t="s">
        <v>247</v>
      </c>
      <c r="C43" s="299"/>
      <c r="D43" s="9"/>
      <c r="E43" s="9">
        <f>'Carichi unitari'!$C$17</f>
        <v>4.9890259740259744</v>
      </c>
      <c r="F43" s="9"/>
      <c r="G43" s="9">
        <f>E43*$C$37</f>
        <v>6.4857337662337669</v>
      </c>
      <c r="H43" s="282">
        <f>E43</f>
        <v>4.9890259740259744</v>
      </c>
      <c r="I43" s="299"/>
      <c r="J43" s="9"/>
      <c r="K43" s="9">
        <f>'Carichi unitari'!$C$17</f>
        <v>4.9890259740259744</v>
      </c>
      <c r="L43" s="9"/>
      <c r="M43" s="9">
        <f>K43*$C$37</f>
        <v>6.4857337662337669</v>
      </c>
      <c r="N43" s="282">
        <f>K43</f>
        <v>4.9890259740259744</v>
      </c>
      <c r="O43" s="299"/>
      <c r="P43" s="9"/>
      <c r="Q43" s="9">
        <f>'Carichi unitari'!$C$18</f>
        <v>4.2390259740259735</v>
      </c>
      <c r="R43" s="9"/>
      <c r="S43" s="9">
        <f>Q43*$C$37</f>
        <v>5.5107337662337654</v>
      </c>
      <c r="T43" s="282">
        <f>Q43</f>
        <v>4.2390259740259735</v>
      </c>
      <c r="U43" s="299"/>
      <c r="V43" s="9"/>
      <c r="W43" s="9">
        <f>'Carichi unitari'!$C$19</f>
        <v>3.4890259740259744</v>
      </c>
      <c r="X43" s="9"/>
      <c r="Y43" s="9">
        <f>W43*$C$37</f>
        <v>4.5357337662337667</v>
      </c>
      <c r="Z43" s="281">
        <f>W43</f>
        <v>3.4890259740259744</v>
      </c>
    </row>
    <row r="44" spans="1:26" x14ac:dyDescent="0.3">
      <c r="B44" s="338" t="s">
        <v>45</v>
      </c>
      <c r="C44" s="299"/>
      <c r="D44" s="9"/>
      <c r="E44" s="9"/>
      <c r="F44" s="9"/>
      <c r="G44" s="9"/>
      <c r="H44" s="282"/>
      <c r="I44" s="299">
        <f>1.5*2</f>
        <v>3</v>
      </c>
      <c r="J44" s="9">
        <v>1.1000000000000001</v>
      </c>
      <c r="K44" s="9">
        <f>I44*J44*'Carichi unitari'!$C$14</f>
        <v>12.970909090909092</v>
      </c>
      <c r="L44" s="9">
        <f>I44*J44*'Carichi unitari'!$D$14</f>
        <v>13.200000000000001</v>
      </c>
      <c r="M44" s="9">
        <f>K44*$C$37+L44*$D$37</f>
        <v>36.662181818181821</v>
      </c>
      <c r="N44" s="282">
        <f>K44+L44*$G$36</f>
        <v>20.890909090909091</v>
      </c>
      <c r="O44" s="299">
        <f>1.5*2</f>
        <v>3</v>
      </c>
      <c r="P44" s="9">
        <v>1.1000000000000001</v>
      </c>
      <c r="Q44" s="9">
        <f>O44*P44*'Carichi unitari'!$C$14</f>
        <v>12.970909090909092</v>
      </c>
      <c r="R44" s="9">
        <f>O44*P44*'Carichi unitari'!$D$14</f>
        <v>13.200000000000001</v>
      </c>
      <c r="S44" s="9">
        <f>Q44*$C$37+R44*$D$37</f>
        <v>36.662181818181821</v>
      </c>
      <c r="T44" s="282">
        <f>Q44+R44*$G$36</f>
        <v>20.890909090909091</v>
      </c>
      <c r="U44" s="299">
        <f>0.5*2</f>
        <v>1</v>
      </c>
      <c r="V44" s="9">
        <v>1.1000000000000001</v>
      </c>
      <c r="W44" s="329">
        <f>'Carichi unitari'!$C$15*U44*V44</f>
        <v>3.8500000000000005</v>
      </c>
      <c r="X44" s="329">
        <f>'Carichi unitari'!$D$15</f>
        <v>0.5</v>
      </c>
      <c r="Y44" s="329">
        <f>W44*$C$37+X44*$D$37</f>
        <v>5.7550000000000008</v>
      </c>
      <c r="Z44" s="334">
        <f>W44</f>
        <v>3.8500000000000005</v>
      </c>
    </row>
    <row r="45" spans="1:26" x14ac:dyDescent="0.3">
      <c r="B45" s="339" t="s">
        <v>44</v>
      </c>
      <c r="C45" s="299">
        <v>0.9</v>
      </c>
      <c r="D45" s="9"/>
      <c r="E45" s="9">
        <f>C45*'Carichi unitari'!$C$22</f>
        <v>5.3804123437500007</v>
      </c>
      <c r="F45" s="9"/>
      <c r="G45" s="9">
        <f>E45*$C$37</f>
        <v>6.9945360468750009</v>
      </c>
      <c r="H45" s="282">
        <f>E45</f>
        <v>5.3804123437500007</v>
      </c>
      <c r="I45" s="299">
        <v>0.8</v>
      </c>
      <c r="J45" s="9"/>
      <c r="K45" s="9">
        <f>I45*'Carichi unitari'!$C$22</f>
        <v>4.7825887500000013</v>
      </c>
      <c r="L45" s="9"/>
      <c r="M45" s="9">
        <f>K45*$C$37</f>
        <v>6.2173653750000017</v>
      </c>
      <c r="N45" s="282">
        <f>K45</f>
        <v>4.7825887500000013</v>
      </c>
      <c r="O45" s="299">
        <v>0.8</v>
      </c>
      <c r="P45" s="9"/>
      <c r="Q45" s="9">
        <f>O45*'Carichi unitari'!$C$22</f>
        <v>4.7825887500000013</v>
      </c>
      <c r="R45" s="9"/>
      <c r="S45" s="9">
        <f>Q45*$C$37</f>
        <v>6.2173653750000017</v>
      </c>
      <c r="T45" s="282">
        <f>Q45</f>
        <v>4.7825887500000013</v>
      </c>
      <c r="U45" s="299"/>
      <c r="V45" s="9"/>
      <c r="W45" s="9"/>
      <c r="X45" s="9"/>
      <c r="Y45" s="9"/>
      <c r="Z45" s="281"/>
    </row>
    <row r="46" spans="1:26" ht="15" thickBot="1" x14ac:dyDescent="0.35">
      <c r="B46" s="340" t="s">
        <v>322</v>
      </c>
      <c r="C46" s="300"/>
      <c r="D46" s="301"/>
      <c r="E46" s="301"/>
      <c r="F46" s="301"/>
      <c r="G46" s="350">
        <f>SUM(G42:G45)</f>
        <v>17.776536046875002</v>
      </c>
      <c r="H46" s="351">
        <f>SUM(H42:H45)</f>
        <v>12.82041234375</v>
      </c>
      <c r="I46" s="300"/>
      <c r="J46" s="301"/>
      <c r="K46" s="301"/>
      <c r="L46" s="301"/>
      <c r="M46" s="350">
        <f>SUM(M42:M45)</f>
        <v>49.365280959415585</v>
      </c>
      <c r="N46" s="351">
        <f>SUM(N42:N45)</f>
        <v>30.662523814935067</v>
      </c>
      <c r="O46" s="300"/>
      <c r="P46" s="301"/>
      <c r="Q46" s="301"/>
      <c r="R46" s="301"/>
      <c r="S46" s="350">
        <f>SUM(S42:S45)</f>
        <v>48.390280959415584</v>
      </c>
      <c r="T46" s="351">
        <f>SUM(T42:T45)</f>
        <v>29.912523814935067</v>
      </c>
      <c r="U46" s="300"/>
      <c r="V46" s="301"/>
      <c r="W46" s="301"/>
      <c r="X46" s="301"/>
      <c r="Y46" s="350">
        <f>SUM(Y42:Y45)</f>
        <v>10.290733766233767</v>
      </c>
      <c r="Z46" s="352">
        <f>SUM(Z42:Z45)</f>
        <v>7.3390259740259749</v>
      </c>
    </row>
    <row r="47" spans="1:26" ht="16.2" thickBot="1" x14ac:dyDescent="0.35">
      <c r="C47" s="535" t="s">
        <v>255</v>
      </c>
      <c r="D47" s="536"/>
      <c r="E47" s="536"/>
      <c r="F47" s="536"/>
      <c r="G47" s="536"/>
      <c r="H47" s="537"/>
      <c r="I47" s="535" t="s">
        <v>256</v>
      </c>
      <c r="J47" s="536"/>
      <c r="K47" s="536"/>
      <c r="L47" s="536"/>
      <c r="M47" s="536"/>
      <c r="N47" s="537"/>
      <c r="O47" s="535" t="s">
        <v>257</v>
      </c>
      <c r="P47" s="536"/>
      <c r="Q47" s="536"/>
      <c r="R47" s="536"/>
      <c r="S47" s="536"/>
      <c r="T47" s="537"/>
      <c r="U47" s="535" t="s">
        <v>258</v>
      </c>
      <c r="V47" s="536"/>
      <c r="W47" s="536"/>
      <c r="X47" s="536"/>
      <c r="Y47" s="536"/>
      <c r="Z47" s="537"/>
    </row>
    <row r="48" spans="1:26" ht="46.2" thickBot="1" x14ac:dyDescent="0.35">
      <c r="B48" s="150"/>
      <c r="C48" s="304" t="s">
        <v>241</v>
      </c>
      <c r="D48" s="305" t="s">
        <v>242</v>
      </c>
      <c r="E48" s="306" t="s">
        <v>8</v>
      </c>
      <c r="F48" s="306" t="s">
        <v>9</v>
      </c>
      <c r="G48" s="307" t="s">
        <v>253</v>
      </c>
      <c r="H48" s="308" t="s">
        <v>254</v>
      </c>
      <c r="I48" s="304" t="s">
        <v>241</v>
      </c>
      <c r="J48" s="305" t="s">
        <v>242</v>
      </c>
      <c r="K48" s="306" t="s">
        <v>8</v>
      </c>
      <c r="L48" s="306" t="s">
        <v>9</v>
      </c>
      <c r="M48" s="307" t="s">
        <v>253</v>
      </c>
      <c r="N48" s="308" t="s">
        <v>254</v>
      </c>
      <c r="O48" s="304" t="s">
        <v>241</v>
      </c>
      <c r="P48" s="305" t="s">
        <v>242</v>
      </c>
      <c r="Q48" s="306" t="s">
        <v>8</v>
      </c>
      <c r="R48" s="306" t="s">
        <v>9</v>
      </c>
      <c r="S48" s="307" t="s">
        <v>253</v>
      </c>
      <c r="T48" s="308" t="s">
        <v>254</v>
      </c>
      <c r="U48" s="304" t="s">
        <v>241</v>
      </c>
      <c r="V48" s="305" t="s">
        <v>242</v>
      </c>
      <c r="W48" s="306" t="s">
        <v>8</v>
      </c>
      <c r="X48" s="306" t="s">
        <v>9</v>
      </c>
      <c r="Y48" s="307" t="s">
        <v>243</v>
      </c>
      <c r="Z48" s="308" t="s">
        <v>244</v>
      </c>
    </row>
    <row r="49" spans="1:26" x14ac:dyDescent="0.3">
      <c r="A49" s="533" t="s">
        <v>321</v>
      </c>
      <c r="B49" s="337" t="s">
        <v>42</v>
      </c>
      <c r="C49" s="299">
        <f>0.5*2</f>
        <v>1</v>
      </c>
      <c r="D49" s="9"/>
      <c r="E49" s="9">
        <f>'Carichi unitari'!$C$10*C49</f>
        <v>4.3019480519480524</v>
      </c>
      <c r="F49" s="9">
        <f>C49*'Carichi unitari'!$D$10</f>
        <v>2</v>
      </c>
      <c r="G49" s="9">
        <f>E49*$C$37+F49*$D$37</f>
        <v>8.5925324675324681</v>
      </c>
      <c r="H49" s="281">
        <f>E49+F49*$F$36</f>
        <v>4.9019480519480521</v>
      </c>
      <c r="I49" s="299">
        <f>0.5*2</f>
        <v>1</v>
      </c>
      <c r="J49" s="9"/>
      <c r="K49" s="9">
        <f>'Carichi unitari'!$C$10*I49</f>
        <v>4.3019480519480524</v>
      </c>
      <c r="L49" s="9">
        <f>I49*'Carichi unitari'!$D$10</f>
        <v>2</v>
      </c>
      <c r="M49" s="9">
        <f>K49*$C$37+L49*$D$37</f>
        <v>8.5925324675324681</v>
      </c>
      <c r="N49" s="281">
        <f>K49+L49*$F$36</f>
        <v>4.9019480519480521</v>
      </c>
      <c r="O49" s="299">
        <f>0.5*2</f>
        <v>1</v>
      </c>
      <c r="P49" s="9"/>
      <c r="Q49" s="9">
        <f>'Carichi unitari'!$C$10*O49</f>
        <v>4.3019480519480524</v>
      </c>
      <c r="R49" s="9">
        <f>O49*'Carichi unitari'!$D$10</f>
        <v>2</v>
      </c>
      <c r="S49" s="9">
        <f>Q49*$C$37+R49*$D$37</f>
        <v>8.5925324675324681</v>
      </c>
      <c r="T49" s="281">
        <f>Q49+R49*$F$36</f>
        <v>4.9019480519480521</v>
      </c>
      <c r="U49" s="299">
        <f>0.5*2</f>
        <v>1</v>
      </c>
      <c r="V49" s="9"/>
      <c r="W49" s="9">
        <f>'Carichi unitari'!$C$12*U49</f>
        <v>4.9619480519480526</v>
      </c>
      <c r="X49" s="9">
        <f>U49*'Carichi unitari'!$D$10</f>
        <v>2</v>
      </c>
      <c r="Y49" s="9">
        <f>W49*$C$37+X49*$D$37</f>
        <v>9.4505324675324687</v>
      </c>
      <c r="Z49" s="281">
        <f>W49+X49*$F$36</f>
        <v>5.5619480519480522</v>
      </c>
    </row>
    <row r="50" spans="1:26" x14ac:dyDescent="0.3">
      <c r="A50" s="534"/>
      <c r="B50" s="346" t="s">
        <v>247</v>
      </c>
      <c r="C50" s="309"/>
      <c r="D50" s="310"/>
      <c r="E50" s="310">
        <f>'Carichi unitari'!$C$21</f>
        <v>1.8468311688311685</v>
      </c>
      <c r="F50" s="310"/>
      <c r="G50" s="310">
        <f>E50*$C$37</f>
        <v>2.4008805194805189</v>
      </c>
      <c r="H50" s="311">
        <f>E50</f>
        <v>1.8468311688311685</v>
      </c>
      <c r="I50" s="309"/>
      <c r="J50" s="310"/>
      <c r="K50" s="310">
        <f>'Carichi unitari'!$C$21</f>
        <v>1.8468311688311685</v>
      </c>
      <c r="L50" s="310"/>
      <c r="M50" s="310">
        <f>K50*$C$37</f>
        <v>2.4008805194805189</v>
      </c>
      <c r="N50" s="311">
        <f>K50</f>
        <v>1.8468311688311685</v>
      </c>
      <c r="O50" s="309"/>
      <c r="P50" s="310"/>
      <c r="Q50" s="310">
        <f>'Carichi unitari'!$C$21</f>
        <v>1.8468311688311685</v>
      </c>
      <c r="R50" s="310"/>
      <c r="S50" s="310">
        <f>Q50*$C$37</f>
        <v>2.4008805194805189</v>
      </c>
      <c r="T50" s="311">
        <f>Q50</f>
        <v>1.8468311688311685</v>
      </c>
      <c r="U50" s="309"/>
      <c r="V50" s="310"/>
      <c r="W50" s="310">
        <f>'Carichi unitari'!$C$21</f>
        <v>1.8468311688311685</v>
      </c>
      <c r="X50" s="310"/>
      <c r="Y50" s="310">
        <f>W50*$C$37</f>
        <v>2.4008805194805189</v>
      </c>
      <c r="Z50" s="311">
        <f>W50</f>
        <v>1.8468311688311685</v>
      </c>
    </row>
    <row r="51" spans="1:26" x14ac:dyDescent="0.3">
      <c r="A51" s="328"/>
      <c r="B51" s="339" t="s">
        <v>356</v>
      </c>
      <c r="C51" s="309">
        <f>C49</f>
        <v>1</v>
      </c>
      <c r="D51" s="310"/>
      <c r="E51" s="310">
        <f>'Carichi unitari'!$C$11*C51</f>
        <v>1.2</v>
      </c>
      <c r="F51" s="310"/>
      <c r="G51" s="310">
        <f>E51*$D$37</f>
        <v>1.7999999999999998</v>
      </c>
      <c r="H51" s="311">
        <f>E51</f>
        <v>1.2</v>
      </c>
      <c r="I51" s="309">
        <f>I49</f>
        <v>1</v>
      </c>
      <c r="J51" s="310"/>
      <c r="K51" s="310">
        <f>'Carichi unitari'!$C$11*I51</f>
        <v>1.2</v>
      </c>
      <c r="L51" s="310"/>
      <c r="M51" s="310">
        <f>K51*$D$37</f>
        <v>1.7999999999999998</v>
      </c>
      <c r="N51" s="311">
        <f>K51</f>
        <v>1.2</v>
      </c>
      <c r="O51" s="309">
        <f>O49</f>
        <v>1</v>
      </c>
      <c r="P51" s="310"/>
      <c r="Q51" s="310">
        <f>'Carichi unitari'!$C$11*O51</f>
        <v>1.2</v>
      </c>
      <c r="R51" s="310"/>
      <c r="S51" s="310">
        <f>Q51*$D$37</f>
        <v>1.7999999999999998</v>
      </c>
      <c r="T51" s="311">
        <f>Q51</f>
        <v>1.2</v>
      </c>
      <c r="U51" s="309"/>
      <c r="V51" s="310"/>
      <c r="W51" s="310"/>
      <c r="X51" s="310"/>
      <c r="Y51" s="310"/>
      <c r="Z51" s="311"/>
    </row>
    <row r="52" spans="1:26" ht="15" thickBot="1" x14ac:dyDescent="0.35">
      <c r="B52" s="340" t="s">
        <v>322</v>
      </c>
      <c r="C52" s="300"/>
      <c r="D52" s="301"/>
      <c r="E52" s="301"/>
      <c r="F52" s="301"/>
      <c r="G52" s="350">
        <f>SUM(G49:G51)</f>
        <v>12.793412987012989</v>
      </c>
      <c r="H52" s="350">
        <f>SUM(H49:H51)</f>
        <v>7.9487792207792207</v>
      </c>
      <c r="I52" s="300"/>
      <c r="J52" s="301"/>
      <c r="K52" s="301"/>
      <c r="L52" s="301"/>
      <c r="M52" s="350">
        <f>SUM(M49:M51)</f>
        <v>12.793412987012989</v>
      </c>
      <c r="N52" s="350">
        <f>SUM(N49:N51)</f>
        <v>7.9487792207792207</v>
      </c>
      <c r="O52" s="300"/>
      <c r="P52" s="301"/>
      <c r="Q52" s="301"/>
      <c r="R52" s="301"/>
      <c r="S52" s="350">
        <f>SUM(S49:S51)</f>
        <v>12.793412987012989</v>
      </c>
      <c r="T52" s="350">
        <f>SUM(T49:T51)</f>
        <v>7.9487792207792207</v>
      </c>
      <c r="U52" s="300"/>
      <c r="V52" s="301"/>
      <c r="W52" s="301"/>
      <c r="X52" s="301"/>
      <c r="Y52" s="350">
        <f>SUM(Y49:Y51)</f>
        <v>11.851412987012989</v>
      </c>
      <c r="Z52" s="350">
        <f>SUM(Z49:Z51)</f>
        <v>7.4087792207792207</v>
      </c>
    </row>
    <row r="53" spans="1:26" x14ac:dyDescent="0.3">
      <c r="A53" s="533" t="s">
        <v>269</v>
      </c>
      <c r="B53" s="337" t="s">
        <v>42</v>
      </c>
      <c r="C53" s="318">
        <v>0.5</v>
      </c>
      <c r="D53" s="319"/>
      <c r="E53" s="319">
        <f>'Carichi unitari'!$C$10*C53</f>
        <v>2.1509740259740262</v>
      </c>
      <c r="F53" s="319">
        <f>C53*'Carichi unitari'!$D$10</f>
        <v>1</v>
      </c>
      <c r="G53" s="319">
        <f>E53*$C$37+F53*$D$37</f>
        <v>4.2962662337662341</v>
      </c>
      <c r="H53" s="321">
        <f>E53+F53*$F$36</f>
        <v>2.450974025974026</v>
      </c>
      <c r="I53" s="318"/>
      <c r="J53" s="319"/>
      <c r="K53" s="319"/>
      <c r="L53" s="319"/>
      <c r="M53" s="319"/>
      <c r="N53" s="321"/>
      <c r="O53" s="318"/>
      <c r="P53" s="319"/>
      <c r="Q53" s="319"/>
      <c r="R53" s="319"/>
      <c r="S53" s="319"/>
      <c r="T53" s="321"/>
      <c r="U53" s="318"/>
      <c r="V53" s="319"/>
      <c r="W53" s="319"/>
      <c r="X53" s="319"/>
      <c r="Y53" s="319"/>
      <c r="Z53" s="320"/>
    </row>
    <row r="54" spans="1:26" x14ac:dyDescent="0.3">
      <c r="A54" s="534"/>
      <c r="B54" s="338" t="s">
        <v>247</v>
      </c>
      <c r="C54" s="299"/>
      <c r="D54" s="9"/>
      <c r="E54" s="9">
        <f>'Carichi unitari'!$C$17</f>
        <v>4.9890259740259744</v>
      </c>
      <c r="F54" s="9"/>
      <c r="G54" s="9">
        <f>E54*$C$37</f>
        <v>6.4857337662337669</v>
      </c>
      <c r="H54" s="282">
        <f>E54</f>
        <v>4.9890259740259744</v>
      </c>
      <c r="I54" s="299"/>
      <c r="J54" s="9"/>
      <c r="K54" s="9">
        <f>'Carichi unitari'!$C$17</f>
        <v>4.9890259740259744</v>
      </c>
      <c r="L54" s="9"/>
      <c r="M54" s="9">
        <f>K54*$C$37</f>
        <v>6.4857337662337669</v>
      </c>
      <c r="N54" s="282">
        <f>K54</f>
        <v>4.9890259740259744</v>
      </c>
      <c r="O54" s="299"/>
      <c r="P54" s="9"/>
      <c r="Q54" s="9">
        <f>'Carichi unitari'!$C$18</f>
        <v>4.2390259740259735</v>
      </c>
      <c r="R54" s="9"/>
      <c r="S54" s="9">
        <f>Q54*$C$37</f>
        <v>5.5107337662337654</v>
      </c>
      <c r="T54" s="282">
        <f>Q54</f>
        <v>4.2390259740259735</v>
      </c>
      <c r="U54" s="299"/>
      <c r="V54" s="9"/>
      <c r="W54" s="9">
        <f>'Carichi unitari'!$C$19</f>
        <v>3.4890259740259744</v>
      </c>
      <c r="X54" s="9"/>
      <c r="Y54" s="9">
        <f>W54*$C$37</f>
        <v>4.5357337662337667</v>
      </c>
      <c r="Z54" s="281">
        <f>W54</f>
        <v>3.4890259740259744</v>
      </c>
    </row>
    <row r="55" spans="1:26" x14ac:dyDescent="0.3">
      <c r="B55" s="338" t="s">
        <v>45</v>
      </c>
      <c r="C55" s="299"/>
      <c r="D55" s="9"/>
      <c r="E55" s="9"/>
      <c r="F55" s="9"/>
      <c r="G55" s="9"/>
      <c r="H55" s="282"/>
      <c r="I55" s="299">
        <f>1.5*2</f>
        <v>3</v>
      </c>
      <c r="J55" s="9">
        <v>1.1000000000000001</v>
      </c>
      <c r="K55" s="9">
        <f>I55*J55*'Carichi unitari'!$C$14</f>
        <v>12.970909090909092</v>
      </c>
      <c r="L55" s="9">
        <f>I55*J55*'Carichi unitari'!$D$14</f>
        <v>13.200000000000001</v>
      </c>
      <c r="M55" s="9">
        <f>K55*$C$37+L55*$D$37</f>
        <v>36.662181818181821</v>
      </c>
      <c r="N55" s="282">
        <f>K55+L55*$G$36</f>
        <v>20.890909090909091</v>
      </c>
      <c r="O55" s="299">
        <f>1.5*2</f>
        <v>3</v>
      </c>
      <c r="P55" s="9">
        <v>1.1000000000000001</v>
      </c>
      <c r="Q55" s="9">
        <f>O55*P55*'Carichi unitari'!$C$14</f>
        <v>12.970909090909092</v>
      </c>
      <c r="R55" s="9">
        <f>O55*P55*'Carichi unitari'!$D$14</f>
        <v>13.200000000000001</v>
      </c>
      <c r="S55" s="9">
        <f>Q55*$C$37+R55*$D$37</f>
        <v>36.662181818181821</v>
      </c>
      <c r="T55" s="282">
        <f>Q55+R55*$G$36</f>
        <v>20.890909090909091</v>
      </c>
      <c r="U55" s="299">
        <f>1.5*2</f>
        <v>3</v>
      </c>
      <c r="V55" s="9">
        <v>1.1000000000000001</v>
      </c>
      <c r="W55" s="9">
        <f>U55*V55*'Carichi unitari'!$C$15</f>
        <v>11.55</v>
      </c>
      <c r="X55" s="9">
        <f>U55*V55*'Carichi unitari'!$D$15</f>
        <v>1.6500000000000001</v>
      </c>
      <c r="Y55" s="9">
        <f>W55*$C$37+X55*$D$37</f>
        <v>17.490000000000002</v>
      </c>
      <c r="Z55" s="281">
        <f>W55+X55*$G$36</f>
        <v>12.540000000000001</v>
      </c>
    </row>
    <row r="56" spans="1:26" x14ac:dyDescent="0.3">
      <c r="B56" s="339" t="s">
        <v>44</v>
      </c>
      <c r="C56" s="299">
        <v>0.9</v>
      </c>
      <c r="D56" s="9"/>
      <c r="E56" s="9">
        <f>C56*'Carichi unitari'!$C$22</f>
        <v>5.3804123437500007</v>
      </c>
      <c r="F56" s="9"/>
      <c r="G56" s="9">
        <f>E56*$C$37</f>
        <v>6.9945360468750009</v>
      </c>
      <c r="H56" s="282">
        <f>E56</f>
        <v>5.3804123437500007</v>
      </c>
      <c r="I56" s="299">
        <v>0.8</v>
      </c>
      <c r="J56" s="9"/>
      <c r="K56" s="9">
        <f>I56*'Carichi unitari'!$C$22</f>
        <v>4.7825887500000013</v>
      </c>
      <c r="L56" s="9"/>
      <c r="M56" s="9">
        <f>K56*$C$37</f>
        <v>6.2173653750000017</v>
      </c>
      <c r="N56" s="282">
        <f>K56</f>
        <v>4.7825887500000013</v>
      </c>
      <c r="O56" s="299">
        <v>0.8</v>
      </c>
      <c r="P56" s="9"/>
      <c r="Q56" s="9">
        <f>O56*'Carichi unitari'!$C$22</f>
        <v>4.7825887500000013</v>
      </c>
      <c r="R56" s="9"/>
      <c r="S56" s="9">
        <f>Q56*$C$37</f>
        <v>6.2173653750000017</v>
      </c>
      <c r="T56" s="282">
        <f>Q56</f>
        <v>4.7825887500000013</v>
      </c>
      <c r="U56" s="299"/>
      <c r="V56" s="9"/>
      <c r="W56" s="9"/>
      <c r="X56" s="9"/>
      <c r="Y56" s="9"/>
      <c r="Z56" s="281"/>
    </row>
    <row r="57" spans="1:26" ht="15" thickBot="1" x14ac:dyDescent="0.35">
      <c r="B57" s="340" t="s">
        <v>322</v>
      </c>
      <c r="C57" s="300"/>
      <c r="D57" s="301"/>
      <c r="E57" s="301"/>
      <c r="F57" s="301"/>
      <c r="G57" s="350">
        <f>SUM(G53:G56)</f>
        <v>17.776536046875002</v>
      </c>
      <c r="H57" s="351">
        <f>SUM(H53:H56)</f>
        <v>12.82041234375</v>
      </c>
      <c r="I57" s="300"/>
      <c r="J57" s="301"/>
      <c r="K57" s="301"/>
      <c r="L57" s="301"/>
      <c r="M57" s="350">
        <f>SUM(M53:M56)</f>
        <v>49.365280959415585</v>
      </c>
      <c r="N57" s="351">
        <f>SUM(N53:N56)</f>
        <v>30.662523814935067</v>
      </c>
      <c r="O57" s="300"/>
      <c r="P57" s="301"/>
      <c r="Q57" s="301"/>
      <c r="R57" s="301"/>
      <c r="S57" s="350">
        <f>SUM(S53:S56)</f>
        <v>48.390280959415584</v>
      </c>
      <c r="T57" s="351">
        <f>SUM(T53:T56)</f>
        <v>29.912523814935067</v>
      </c>
      <c r="U57" s="300"/>
      <c r="V57" s="301"/>
      <c r="W57" s="301"/>
      <c r="X57" s="301"/>
      <c r="Y57" s="350">
        <f>SUM(Y53:Y56)</f>
        <v>22.02573376623377</v>
      </c>
      <c r="Z57" s="352">
        <f>SUM(Z53:Z56)</f>
        <v>16.029025974025977</v>
      </c>
    </row>
    <row r="58" spans="1:26" x14ac:dyDescent="0.3">
      <c r="A58" s="541" t="s">
        <v>323</v>
      </c>
      <c r="B58" s="337" t="s">
        <v>42</v>
      </c>
      <c r="C58" s="318">
        <v>0.5</v>
      </c>
      <c r="D58" s="319"/>
      <c r="E58" s="319">
        <f>'Carichi unitari'!$C$10*C58</f>
        <v>2.1509740259740262</v>
      </c>
      <c r="F58" s="319">
        <f>C58*'Carichi unitari'!$D$10</f>
        <v>1</v>
      </c>
      <c r="G58" s="319">
        <f>E58*$C$37+F58*$D$37</f>
        <v>4.2962662337662341</v>
      </c>
      <c r="H58" s="321">
        <f>E58+F58*$F$36</f>
        <v>2.450974025974026</v>
      </c>
      <c r="I58" s="318">
        <v>0.5</v>
      </c>
      <c r="J58" s="319"/>
      <c r="K58" s="319">
        <f>'Carichi unitari'!$C$10*I58</f>
        <v>2.1509740259740262</v>
      </c>
      <c r="L58" s="319">
        <f>I58*'Carichi unitari'!$D$10</f>
        <v>1</v>
      </c>
      <c r="M58" s="319">
        <f>K58*$C$37+L58*$D$37</f>
        <v>4.2962662337662341</v>
      </c>
      <c r="N58" s="321">
        <f>K58+L58*$F$36</f>
        <v>2.450974025974026</v>
      </c>
      <c r="O58" s="318">
        <v>0.5</v>
      </c>
      <c r="P58" s="319"/>
      <c r="Q58" s="319">
        <f>'Carichi unitari'!$C$10*O58</f>
        <v>2.1509740259740262</v>
      </c>
      <c r="R58" s="319">
        <f>O58*'Carichi unitari'!$D$10</f>
        <v>1</v>
      </c>
      <c r="S58" s="319">
        <f>Q58*$C$37+R58*$D$37</f>
        <v>4.2962662337662341</v>
      </c>
      <c r="T58" s="321">
        <f>Q58+R58*$F$36</f>
        <v>2.450974025974026</v>
      </c>
      <c r="U58" s="318"/>
      <c r="V58" s="319"/>
      <c r="W58" s="319"/>
      <c r="X58" s="319"/>
      <c r="Y58" s="319"/>
      <c r="Z58" s="321"/>
    </row>
    <row r="59" spans="1:26" x14ac:dyDescent="0.3">
      <c r="A59" s="542"/>
      <c r="B59" s="338" t="s">
        <v>247</v>
      </c>
      <c r="C59" s="299"/>
      <c r="D59" s="9"/>
      <c r="E59" s="9">
        <f>'Carichi unitari'!$C$17</f>
        <v>4.9890259740259744</v>
      </c>
      <c r="F59" s="9"/>
      <c r="G59" s="9">
        <f>E59*$C$37</f>
        <v>6.4857337662337669</v>
      </c>
      <c r="H59" s="282">
        <f>E59</f>
        <v>4.9890259740259744</v>
      </c>
      <c r="I59" s="299"/>
      <c r="J59" s="9"/>
      <c r="K59" s="9">
        <f>'Carichi unitari'!$C$17</f>
        <v>4.9890259740259744</v>
      </c>
      <c r="L59" s="9"/>
      <c r="M59" s="9">
        <f>K59*$C$37</f>
        <v>6.4857337662337669</v>
      </c>
      <c r="N59" s="282">
        <f>K59</f>
        <v>4.9890259740259744</v>
      </c>
      <c r="O59" s="299"/>
      <c r="P59" s="9"/>
      <c r="Q59" s="9">
        <f>'Carichi unitari'!$C$18</f>
        <v>4.2390259740259735</v>
      </c>
      <c r="R59" s="9"/>
      <c r="S59" s="9">
        <f>Q59*$C$37</f>
        <v>5.5107337662337654</v>
      </c>
      <c r="T59" s="282">
        <f>Q59</f>
        <v>4.2390259740259735</v>
      </c>
      <c r="U59" s="299"/>
      <c r="V59" s="9"/>
      <c r="W59" s="9">
        <f>'Carichi unitari'!$C$19</f>
        <v>3.4890259740259744</v>
      </c>
      <c r="X59" s="9"/>
      <c r="Y59" s="9">
        <f>W59*$C$37</f>
        <v>4.5357337662337667</v>
      </c>
      <c r="Z59" s="281">
        <f>W59</f>
        <v>3.4890259740259744</v>
      </c>
    </row>
    <row r="60" spans="1:26" x14ac:dyDescent="0.3">
      <c r="A60" s="331"/>
      <c r="B60" s="338" t="s">
        <v>325</v>
      </c>
      <c r="C60" s="299"/>
      <c r="D60" s="9"/>
      <c r="E60" s="9"/>
      <c r="F60" s="9"/>
      <c r="G60" s="9"/>
      <c r="H60" s="282"/>
      <c r="I60" s="299"/>
      <c r="J60" s="9"/>
      <c r="K60" s="9"/>
      <c r="L60" s="9"/>
      <c r="M60" s="9"/>
      <c r="N60" s="282"/>
      <c r="O60" s="299"/>
      <c r="P60" s="9"/>
      <c r="Q60" s="9"/>
      <c r="R60" s="9"/>
      <c r="S60" s="9"/>
      <c r="T60" s="282"/>
      <c r="U60" s="299">
        <f>0.5*2</f>
        <v>1</v>
      </c>
      <c r="V60" s="9">
        <v>1.1000000000000001</v>
      </c>
      <c r="W60" s="329">
        <f>'Carichi unitari'!$C$15*U60*V60</f>
        <v>3.8500000000000005</v>
      </c>
      <c r="X60" s="329">
        <f>'Carichi unitari'!$D$15</f>
        <v>0.5</v>
      </c>
      <c r="Y60" s="329">
        <f>W60*$C$37+X60*$D$37</f>
        <v>5.7550000000000008</v>
      </c>
      <c r="Z60" s="334">
        <f>W60</f>
        <v>3.8500000000000005</v>
      </c>
    </row>
    <row r="61" spans="1:26" x14ac:dyDescent="0.3">
      <c r="B61" s="339" t="s">
        <v>44</v>
      </c>
      <c r="C61" s="299">
        <v>0.9</v>
      </c>
      <c r="D61" s="9"/>
      <c r="E61" s="9">
        <f>C61*'Carichi unitari'!$C$22</f>
        <v>5.3804123437500007</v>
      </c>
      <c r="F61" s="9"/>
      <c r="G61" s="9">
        <f>E61*$C$37</f>
        <v>6.9945360468750009</v>
      </c>
      <c r="H61" s="282">
        <f>E61</f>
        <v>5.3804123437500007</v>
      </c>
      <c r="I61" s="299">
        <v>0.9</v>
      </c>
      <c r="J61" s="9"/>
      <c r="K61" s="9">
        <f>I61*'Carichi unitari'!$C$22</f>
        <v>5.3804123437500007</v>
      </c>
      <c r="L61" s="9"/>
      <c r="M61" s="9">
        <f>K61*$C$37</f>
        <v>6.9945360468750009</v>
      </c>
      <c r="N61" s="282">
        <f>K61</f>
        <v>5.3804123437500007</v>
      </c>
      <c r="O61" s="299">
        <v>0.9</v>
      </c>
      <c r="P61" s="9"/>
      <c r="Q61" s="9">
        <f>O61*'Carichi unitari'!$C$22</f>
        <v>5.3804123437500007</v>
      </c>
      <c r="R61" s="9"/>
      <c r="S61" s="9">
        <f>Q61*$C$37</f>
        <v>6.9945360468750009</v>
      </c>
      <c r="T61" s="282">
        <f>Q61</f>
        <v>5.3804123437500007</v>
      </c>
      <c r="U61" s="299"/>
      <c r="V61" s="9"/>
      <c r="W61" s="9"/>
      <c r="X61" s="9"/>
      <c r="Y61" s="9"/>
      <c r="Z61" s="281"/>
    </row>
    <row r="62" spans="1:26" ht="15" thickBot="1" x14ac:dyDescent="0.35">
      <c r="B62" s="340" t="s">
        <v>322</v>
      </c>
      <c r="C62" s="300"/>
      <c r="D62" s="301"/>
      <c r="E62" s="301"/>
      <c r="F62" s="301"/>
      <c r="G62" s="350">
        <f>SUM(G58:G61)</f>
        <v>17.776536046875002</v>
      </c>
      <c r="H62" s="351">
        <f>SUM(H58:H61)</f>
        <v>12.82041234375</v>
      </c>
      <c r="I62" s="300"/>
      <c r="J62" s="301"/>
      <c r="K62" s="301"/>
      <c r="L62" s="301"/>
      <c r="M62" s="350">
        <f>SUM(M58:M61)</f>
        <v>17.776536046875002</v>
      </c>
      <c r="N62" s="351">
        <f>SUM(N58:N61)</f>
        <v>12.82041234375</v>
      </c>
      <c r="O62" s="300"/>
      <c r="P62" s="301"/>
      <c r="Q62" s="301"/>
      <c r="R62" s="301"/>
      <c r="S62" s="350">
        <f>SUM(S58:S61)</f>
        <v>16.801536046875</v>
      </c>
      <c r="T62" s="351">
        <f>SUM(T58:T61)</f>
        <v>12.07041234375</v>
      </c>
      <c r="U62" s="300"/>
      <c r="V62" s="301"/>
      <c r="W62" s="301"/>
      <c r="X62" s="301"/>
      <c r="Y62" s="350">
        <f>SUM(Y58:Y61)</f>
        <v>10.290733766233767</v>
      </c>
      <c r="Z62" s="352">
        <f>SUM(Z58:Z61)</f>
        <v>7.3390259740259749</v>
      </c>
    </row>
    <row r="63" spans="1:26" ht="16.2" thickBot="1" x14ac:dyDescent="0.35">
      <c r="C63" s="535" t="s">
        <v>262</v>
      </c>
      <c r="D63" s="536"/>
      <c r="E63" s="536"/>
      <c r="F63" s="536"/>
      <c r="G63" s="536"/>
      <c r="H63" s="537"/>
      <c r="I63" s="535" t="s">
        <v>263</v>
      </c>
      <c r="J63" s="536"/>
      <c r="K63" s="536"/>
      <c r="L63" s="536"/>
      <c r="M63" s="536"/>
      <c r="N63" s="537"/>
      <c r="O63" s="535" t="s">
        <v>264</v>
      </c>
      <c r="P63" s="536"/>
      <c r="Q63" s="536"/>
      <c r="R63" s="536"/>
      <c r="S63" s="536"/>
      <c r="T63" s="537"/>
      <c r="U63" s="535" t="s">
        <v>265</v>
      </c>
      <c r="V63" s="536"/>
      <c r="W63" s="536"/>
      <c r="X63" s="536"/>
      <c r="Y63" s="536"/>
      <c r="Z63" s="537"/>
    </row>
    <row r="64" spans="1:26" ht="46.2" thickBot="1" x14ac:dyDescent="0.35">
      <c r="C64" s="304" t="s">
        <v>241</v>
      </c>
      <c r="D64" s="305" t="s">
        <v>242</v>
      </c>
      <c r="E64" s="306" t="s">
        <v>8</v>
      </c>
      <c r="F64" s="306" t="s">
        <v>9</v>
      </c>
      <c r="G64" s="307" t="s">
        <v>253</v>
      </c>
      <c r="H64" s="308" t="s">
        <v>254</v>
      </c>
      <c r="I64" s="304" t="s">
        <v>241</v>
      </c>
      <c r="J64" s="305" t="s">
        <v>242</v>
      </c>
      <c r="K64" s="306" t="s">
        <v>8</v>
      </c>
      <c r="L64" s="306" t="s">
        <v>9</v>
      </c>
      <c r="M64" s="307" t="s">
        <v>253</v>
      </c>
      <c r="N64" s="308" t="s">
        <v>254</v>
      </c>
      <c r="O64" s="304" t="s">
        <v>241</v>
      </c>
      <c r="P64" s="305" t="s">
        <v>242</v>
      </c>
      <c r="Q64" s="306" t="s">
        <v>8</v>
      </c>
      <c r="R64" s="306" t="s">
        <v>9</v>
      </c>
      <c r="S64" s="307" t="s">
        <v>253</v>
      </c>
      <c r="T64" s="308" t="s">
        <v>254</v>
      </c>
      <c r="U64" s="313" t="s">
        <v>241</v>
      </c>
      <c r="V64" s="314" t="s">
        <v>242</v>
      </c>
      <c r="W64" s="315" t="s">
        <v>8</v>
      </c>
      <c r="X64" s="315" t="s">
        <v>9</v>
      </c>
      <c r="Y64" s="316" t="s">
        <v>243</v>
      </c>
      <c r="Z64" s="317" t="s">
        <v>244</v>
      </c>
    </row>
    <row r="65" spans="1:26" x14ac:dyDescent="0.3">
      <c r="A65" s="533" t="s">
        <v>266</v>
      </c>
      <c r="B65" s="337" t="s">
        <v>42</v>
      </c>
      <c r="C65" s="299">
        <f>0.5*2</f>
        <v>1</v>
      </c>
      <c r="D65" s="9"/>
      <c r="E65" s="9">
        <f>'Carichi unitari'!$C$10*C65</f>
        <v>4.3019480519480524</v>
      </c>
      <c r="F65" s="9">
        <f>C65*'Carichi unitari'!$D$10</f>
        <v>2</v>
      </c>
      <c r="G65" s="9">
        <f>E65*$C$37+F65*$D$37</f>
        <v>8.5925324675324681</v>
      </c>
      <c r="H65" s="281">
        <f>E65+F65*$F$36</f>
        <v>4.9019480519480521</v>
      </c>
      <c r="I65" s="299">
        <f>0.5*2</f>
        <v>1</v>
      </c>
      <c r="J65" s="9"/>
      <c r="K65" s="9">
        <f>'Carichi unitari'!$C$10*I65</f>
        <v>4.3019480519480524</v>
      </c>
      <c r="L65" s="9">
        <f>I65*'Carichi unitari'!$D$10</f>
        <v>2</v>
      </c>
      <c r="M65" s="9">
        <f>K65*$C$37+L65*$D$37</f>
        <v>8.5925324675324681</v>
      </c>
      <c r="N65" s="281">
        <f>K65+L65*$F$36</f>
        <v>4.9019480519480521</v>
      </c>
      <c r="O65" s="299">
        <f>0.5*2</f>
        <v>1</v>
      </c>
      <c r="P65" s="9"/>
      <c r="Q65" s="9">
        <f>'Carichi unitari'!$C$10*O65</f>
        <v>4.3019480519480524</v>
      </c>
      <c r="R65" s="9">
        <f>O65*'Carichi unitari'!$D$10</f>
        <v>2</v>
      </c>
      <c r="S65" s="9">
        <f>Q65*$C$37+R65*$D$37</f>
        <v>8.5925324675324681</v>
      </c>
      <c r="T65" s="281">
        <f>Q65+R65*$F$36</f>
        <v>4.9019480519480521</v>
      </c>
      <c r="U65" s="318">
        <f>0.5*2</f>
        <v>1</v>
      </c>
      <c r="V65" s="319"/>
      <c r="W65" s="319">
        <f>'Carichi unitari'!$C$12*U65</f>
        <v>4.9619480519480526</v>
      </c>
      <c r="X65" s="319">
        <f>U65*'Carichi unitari'!$D$10</f>
        <v>2</v>
      </c>
      <c r="Y65" s="319">
        <f>W65*$C$37+X65*$D$37</f>
        <v>9.4505324675324687</v>
      </c>
      <c r="Z65" s="320">
        <f>W65+X65*$F$36</f>
        <v>5.5619480519480522</v>
      </c>
    </row>
    <row r="66" spans="1:26" x14ac:dyDescent="0.3">
      <c r="A66" s="534"/>
      <c r="B66" s="346" t="s">
        <v>247</v>
      </c>
      <c r="C66" s="309"/>
      <c r="D66" s="310"/>
      <c r="E66" s="310">
        <f>'Carichi unitari'!$C$21</f>
        <v>1.8468311688311685</v>
      </c>
      <c r="F66" s="310"/>
      <c r="G66" s="310">
        <f>E66*$C$37</f>
        <v>2.4008805194805189</v>
      </c>
      <c r="H66" s="311">
        <f>E66</f>
        <v>1.8468311688311685</v>
      </c>
      <c r="I66" s="309"/>
      <c r="J66" s="310"/>
      <c r="K66" s="310">
        <f>'Carichi unitari'!$C$21</f>
        <v>1.8468311688311685</v>
      </c>
      <c r="L66" s="310"/>
      <c r="M66" s="310">
        <f>K66*$C$37</f>
        <v>2.4008805194805189</v>
      </c>
      <c r="N66" s="311">
        <f>K66</f>
        <v>1.8468311688311685</v>
      </c>
      <c r="O66" s="309"/>
      <c r="P66" s="310"/>
      <c r="Q66" s="310">
        <f>'Carichi unitari'!$C$21</f>
        <v>1.8468311688311685</v>
      </c>
      <c r="R66" s="310"/>
      <c r="S66" s="310">
        <f>Q66*$C$37</f>
        <v>2.4008805194805189</v>
      </c>
      <c r="T66" s="311">
        <f>Q66</f>
        <v>1.8468311688311685</v>
      </c>
      <c r="U66" s="309"/>
      <c r="V66" s="310"/>
      <c r="W66" s="310">
        <f>'Carichi unitari'!$C$21</f>
        <v>1.8468311688311685</v>
      </c>
      <c r="X66" s="310"/>
      <c r="Y66" s="310">
        <f>W66*$C$37</f>
        <v>2.4008805194805189</v>
      </c>
      <c r="Z66" s="311">
        <f>W66</f>
        <v>1.8468311688311685</v>
      </c>
    </row>
    <row r="67" spans="1:26" x14ac:dyDescent="0.3">
      <c r="A67" s="328"/>
      <c r="B67" s="339" t="s">
        <v>356</v>
      </c>
      <c r="C67" s="309">
        <f>C65</f>
        <v>1</v>
      </c>
      <c r="D67" s="310"/>
      <c r="E67" s="310">
        <f>'Carichi unitari'!$C$11*C67</f>
        <v>1.2</v>
      </c>
      <c r="F67" s="310"/>
      <c r="G67" s="310">
        <f>E67*$D$37</f>
        <v>1.7999999999999998</v>
      </c>
      <c r="H67" s="311">
        <f>E67</f>
        <v>1.2</v>
      </c>
      <c r="I67" s="309">
        <f>I65</f>
        <v>1</v>
      </c>
      <c r="J67" s="310"/>
      <c r="K67" s="310">
        <f>'Carichi unitari'!$C$11*I67</f>
        <v>1.2</v>
      </c>
      <c r="L67" s="310"/>
      <c r="M67" s="310">
        <f>K67*$D$37</f>
        <v>1.7999999999999998</v>
      </c>
      <c r="N67" s="311">
        <f>K67</f>
        <v>1.2</v>
      </c>
      <c r="O67" s="309">
        <f>O65</f>
        <v>1</v>
      </c>
      <c r="P67" s="310"/>
      <c r="Q67" s="310">
        <f>'Carichi unitari'!$C$11*O67</f>
        <v>1.2</v>
      </c>
      <c r="R67" s="310"/>
      <c r="S67" s="310">
        <f>Q67*$D$37</f>
        <v>1.7999999999999998</v>
      </c>
      <c r="T67" s="311">
        <f>Q67</f>
        <v>1.2</v>
      </c>
      <c r="U67" s="309"/>
      <c r="V67" s="310"/>
      <c r="W67" s="310"/>
      <c r="X67" s="310"/>
      <c r="Y67" s="310"/>
      <c r="Z67" s="311"/>
    </row>
    <row r="68" spans="1:26" ht="15" thickBot="1" x14ac:dyDescent="0.35">
      <c r="B68" s="340" t="s">
        <v>322</v>
      </c>
      <c r="C68" s="300"/>
      <c r="D68" s="301"/>
      <c r="E68" s="301"/>
      <c r="F68" s="301"/>
      <c r="G68" s="350">
        <f>SUM(G65:G67)</f>
        <v>12.793412987012989</v>
      </c>
      <c r="H68" s="350">
        <f>SUM(H65:H67)</f>
        <v>7.9487792207792207</v>
      </c>
      <c r="I68" s="300"/>
      <c r="J68" s="301"/>
      <c r="K68" s="301"/>
      <c r="L68" s="301"/>
      <c r="M68" s="350">
        <f>SUM(M65:M67)</f>
        <v>12.793412987012989</v>
      </c>
      <c r="N68" s="350">
        <f>SUM(N65:N67)</f>
        <v>7.9487792207792207</v>
      </c>
      <c r="O68" s="300"/>
      <c r="P68" s="301"/>
      <c r="Q68" s="301"/>
      <c r="R68" s="301"/>
      <c r="S68" s="350">
        <f>SUM(S65:S67)</f>
        <v>12.793412987012989</v>
      </c>
      <c r="T68" s="350">
        <f>SUM(T65:T67)</f>
        <v>7.9487792207792207</v>
      </c>
      <c r="U68" s="300"/>
      <c r="V68" s="301"/>
      <c r="W68" s="301"/>
      <c r="X68" s="301"/>
      <c r="Y68" s="350">
        <f>SUM(Y65:Y67)</f>
        <v>11.851412987012989</v>
      </c>
      <c r="Z68" s="352">
        <f>SUM(Z65:Z67)</f>
        <v>7.4087792207792207</v>
      </c>
    </row>
    <row r="69" spans="1:26" x14ac:dyDescent="0.3">
      <c r="A69" s="533" t="s">
        <v>267</v>
      </c>
      <c r="B69" s="337" t="s">
        <v>42</v>
      </c>
      <c r="C69" s="318">
        <v>0.5</v>
      </c>
      <c r="D69" s="319"/>
      <c r="E69" s="319">
        <f>'Carichi unitari'!$C$10*C69</f>
        <v>2.1509740259740262</v>
      </c>
      <c r="F69" s="319">
        <f>C69*'Carichi unitari'!$D$10</f>
        <v>1</v>
      </c>
      <c r="G69" s="319">
        <f>E69*$C$37+F69*$D$37</f>
        <v>4.2962662337662341</v>
      </c>
      <c r="H69" s="321">
        <f>E69+F69*$F$36</f>
        <v>2.450974025974026</v>
      </c>
      <c r="I69" s="318">
        <v>0.5</v>
      </c>
      <c r="J69" s="319"/>
      <c r="K69" s="319">
        <f>'Carichi unitari'!$C$10*I69</f>
        <v>2.1509740259740262</v>
      </c>
      <c r="L69" s="319">
        <f>I69*'Carichi unitari'!$D$10</f>
        <v>1</v>
      </c>
      <c r="M69" s="319">
        <f>K69*$C$37+L69*$D$37</f>
        <v>4.2962662337662341</v>
      </c>
      <c r="N69" s="321">
        <f>K69+L69*$F$36</f>
        <v>2.450974025974026</v>
      </c>
      <c r="O69" s="318">
        <v>0.5</v>
      </c>
      <c r="P69" s="319"/>
      <c r="Q69" s="319">
        <f>'Carichi unitari'!$C$10*O69</f>
        <v>2.1509740259740262</v>
      </c>
      <c r="R69" s="319">
        <f>O69*'Carichi unitari'!$D$10</f>
        <v>1</v>
      </c>
      <c r="S69" s="319">
        <f>Q69*$C$37+R69*$D$37</f>
        <v>4.2962662337662341</v>
      </c>
      <c r="T69" s="321">
        <f>Q69+R69*$F$36</f>
        <v>2.450974025974026</v>
      </c>
      <c r="U69" s="318">
        <v>0.5</v>
      </c>
      <c r="V69" s="319"/>
      <c r="W69" s="319">
        <f>'Carichi unitari'!$C$12*U69</f>
        <v>2.4809740259740263</v>
      </c>
      <c r="X69" s="319">
        <f>U69*'Carichi unitari'!$D$10</f>
        <v>1</v>
      </c>
      <c r="Y69" s="319">
        <f>W69*$C$37+X69*$D$37</f>
        <v>4.7252662337662343</v>
      </c>
      <c r="Z69" s="320">
        <f>W69+X69*$F$36</f>
        <v>2.7809740259740261</v>
      </c>
    </row>
    <row r="70" spans="1:26" x14ac:dyDescent="0.3">
      <c r="A70" s="534"/>
      <c r="B70" s="338" t="s">
        <v>247</v>
      </c>
      <c r="C70" s="299"/>
      <c r="D70" s="9"/>
      <c r="E70" s="9">
        <f>'Carichi unitari'!$C$17</f>
        <v>4.9890259740259744</v>
      </c>
      <c r="F70" s="9"/>
      <c r="G70" s="9">
        <f>E70*$C$37</f>
        <v>6.4857337662337669</v>
      </c>
      <c r="H70" s="282">
        <f>E70</f>
        <v>4.9890259740259744</v>
      </c>
      <c r="I70" s="299"/>
      <c r="J70" s="9"/>
      <c r="K70" s="9">
        <f>'Carichi unitari'!$C$17</f>
        <v>4.9890259740259744</v>
      </c>
      <c r="L70" s="9"/>
      <c r="M70" s="9">
        <f>K70*$C$37</f>
        <v>6.4857337662337669</v>
      </c>
      <c r="N70" s="282">
        <f>K70</f>
        <v>4.9890259740259744</v>
      </c>
      <c r="O70" s="299"/>
      <c r="P70" s="9"/>
      <c r="Q70" s="9">
        <f>'Carichi unitari'!$C$18</f>
        <v>4.2390259740259735</v>
      </c>
      <c r="R70" s="9"/>
      <c r="S70" s="9">
        <f>Q70*$C$37</f>
        <v>5.5107337662337654</v>
      </c>
      <c r="T70" s="282">
        <f>Q70</f>
        <v>4.2390259740259735</v>
      </c>
      <c r="U70" s="299"/>
      <c r="V70" s="9"/>
      <c r="W70" s="9">
        <f>'Carichi unitari'!$C$19</f>
        <v>3.4890259740259744</v>
      </c>
      <c r="X70" s="9"/>
      <c r="Y70" s="9">
        <f>W70*$C$37</f>
        <v>4.5357337662337667</v>
      </c>
      <c r="Z70" s="281">
        <f>W70</f>
        <v>3.4890259740259744</v>
      </c>
    </row>
    <row r="71" spans="1:26" x14ac:dyDescent="0.3">
      <c r="B71" s="338" t="s">
        <v>43</v>
      </c>
      <c r="C71" s="299">
        <v>2.2999999999999998</v>
      </c>
      <c r="D71" s="329">
        <v>1.2</v>
      </c>
      <c r="E71" s="9">
        <f>C71*D71*'Carichi unitari'!$C$16</f>
        <v>19.453032000000004</v>
      </c>
      <c r="F71" s="9">
        <f>'Carichi unitari'!$D$16*C71*D71</f>
        <v>11.04</v>
      </c>
      <c r="G71" s="9">
        <f>E71*$C$37+F71*$D$37</f>
        <v>41.848941600000003</v>
      </c>
      <c r="H71" s="282">
        <f>E71+F71*$G$36</f>
        <v>26.077032000000003</v>
      </c>
      <c r="I71" s="299">
        <v>2.2999999999999998</v>
      </c>
      <c r="J71" s="329">
        <v>1.2</v>
      </c>
      <c r="K71" s="9">
        <f>I71*J71*'Carichi unitari'!$C$16</f>
        <v>19.453032000000004</v>
      </c>
      <c r="L71" s="9">
        <f>'Carichi unitari'!$D$16*I71*J71</f>
        <v>11.04</v>
      </c>
      <c r="M71" s="9">
        <f>K71*$C$37+L71*$D$37</f>
        <v>41.848941600000003</v>
      </c>
      <c r="N71" s="282">
        <f>K71+L71*$G$36</f>
        <v>26.077032000000003</v>
      </c>
      <c r="O71" s="299">
        <v>2.2999999999999998</v>
      </c>
      <c r="P71" s="329">
        <v>1.2</v>
      </c>
      <c r="Q71" s="9">
        <f>O71*P71*'Carichi unitari'!$C$16</f>
        <v>19.453032000000004</v>
      </c>
      <c r="R71" s="9">
        <f>'Carichi unitari'!$D$16*O71*P71</f>
        <v>11.04</v>
      </c>
      <c r="S71" s="9">
        <f>Q71*$C$37+R71*$D$37</f>
        <v>41.848941600000003</v>
      </c>
      <c r="T71" s="282">
        <f>Q71+R71*$G$36</f>
        <v>26.077032000000003</v>
      </c>
      <c r="U71" s="299">
        <f>C71/2</f>
        <v>1.1499999999999999</v>
      </c>
      <c r="V71" s="329">
        <v>1.2</v>
      </c>
      <c r="W71" s="9">
        <f>U71*V71*'Carichi unitari'!$C$16</f>
        <v>9.7265160000000019</v>
      </c>
      <c r="X71" s="9">
        <f>'Carichi unitari'!$D$16*U71*V71</f>
        <v>5.52</v>
      </c>
      <c r="Y71" s="9">
        <f>W71*$C$37+X71*$D$37</f>
        <v>20.924470800000002</v>
      </c>
      <c r="Z71" s="281">
        <f>W71+X71*$G$36</f>
        <v>13.038516000000001</v>
      </c>
    </row>
    <row r="72" spans="1:26" x14ac:dyDescent="0.3">
      <c r="B72" s="339" t="s">
        <v>44</v>
      </c>
      <c r="C72" s="299">
        <v>0.8</v>
      </c>
      <c r="D72" s="9"/>
      <c r="E72" s="9">
        <f>C72*'Carichi unitari'!$C$22</f>
        <v>4.7825887500000013</v>
      </c>
      <c r="F72" s="9"/>
      <c r="G72" s="9">
        <f>E72*$C$37</f>
        <v>6.2173653750000017</v>
      </c>
      <c r="H72" s="282">
        <f>E72</f>
        <v>4.7825887500000013</v>
      </c>
      <c r="I72" s="299">
        <v>0.8</v>
      </c>
      <c r="J72" s="9"/>
      <c r="K72" s="9">
        <f>I72*'Carichi unitari'!$C$22</f>
        <v>4.7825887500000013</v>
      </c>
      <c r="L72" s="9"/>
      <c r="M72" s="9">
        <f>K72*$C$37</f>
        <v>6.2173653750000017</v>
      </c>
      <c r="N72" s="282">
        <f>K72</f>
        <v>4.7825887500000013</v>
      </c>
      <c r="O72" s="299">
        <v>0.8</v>
      </c>
      <c r="P72" s="9"/>
      <c r="Q72" s="9">
        <f>O72*'Carichi unitari'!$C$22</f>
        <v>4.7825887500000013</v>
      </c>
      <c r="R72" s="9"/>
      <c r="S72" s="9">
        <f>Q72*$C$37</f>
        <v>6.2173653750000017</v>
      </c>
      <c r="T72" s="282">
        <f>Q72</f>
        <v>4.7825887500000013</v>
      </c>
      <c r="U72" s="299"/>
      <c r="V72" s="9"/>
      <c r="W72" s="9"/>
      <c r="X72" s="9"/>
      <c r="Y72" s="9"/>
      <c r="Z72" s="281"/>
    </row>
    <row r="73" spans="1:26" ht="15" thickBot="1" x14ac:dyDescent="0.35">
      <c r="B73" s="340" t="s">
        <v>322</v>
      </c>
      <c r="C73" s="300"/>
      <c r="D73" s="301"/>
      <c r="E73" s="301"/>
      <c r="F73" s="301"/>
      <c r="G73" s="350">
        <f>SUM(G69:G72)</f>
        <v>58.848306975</v>
      </c>
      <c r="H73" s="351">
        <f>SUM(H69:H72)</f>
        <v>38.299620750000003</v>
      </c>
      <c r="I73" s="300"/>
      <c r="J73" s="301"/>
      <c r="K73" s="301"/>
      <c r="L73" s="301"/>
      <c r="M73" s="350">
        <f>SUM(M69:M72)</f>
        <v>58.848306975</v>
      </c>
      <c r="N73" s="351">
        <f>SUM(N69:N72)</f>
        <v>38.299620750000003</v>
      </c>
      <c r="O73" s="300"/>
      <c r="P73" s="301"/>
      <c r="Q73" s="301"/>
      <c r="R73" s="301"/>
      <c r="S73" s="350">
        <f>SUM(S69:S72)</f>
        <v>57.873306975000006</v>
      </c>
      <c r="T73" s="351">
        <f>SUM(T69:T72)</f>
        <v>37.549620750000003</v>
      </c>
      <c r="U73" s="300"/>
      <c r="V73" s="301"/>
      <c r="W73" s="301"/>
      <c r="X73" s="301"/>
      <c r="Y73" s="350">
        <f>SUM(Y69:Y72)</f>
        <v>30.185470800000004</v>
      </c>
      <c r="Z73" s="352">
        <f>SUM(Z69:Z72)</f>
        <v>19.308516000000001</v>
      </c>
    </row>
    <row r="74" spans="1:26" ht="14.4" customHeight="1" x14ac:dyDescent="0.3">
      <c r="A74" s="541" t="s">
        <v>324</v>
      </c>
      <c r="B74" s="337" t="s">
        <v>42</v>
      </c>
      <c r="C74" s="318">
        <v>1</v>
      </c>
      <c r="D74" s="319"/>
      <c r="E74" s="319">
        <f>'Carichi unitari'!$C$10*C74</f>
        <v>4.3019480519480524</v>
      </c>
      <c r="F74" s="319">
        <f>C74*'Carichi unitari'!$D$10</f>
        <v>2</v>
      </c>
      <c r="G74" s="319">
        <f>E74*$C$37+F74*$D$37</f>
        <v>8.5925324675324681</v>
      </c>
      <c r="H74" s="321">
        <f>E74+F74*$F$36</f>
        <v>4.9019480519480521</v>
      </c>
      <c r="I74" s="318">
        <v>1</v>
      </c>
      <c r="J74" s="319"/>
      <c r="K74" s="319">
        <f>'Carichi unitari'!$C$10*I74</f>
        <v>4.3019480519480524</v>
      </c>
      <c r="L74" s="319">
        <f>I74*'Carichi unitari'!$D$10</f>
        <v>2</v>
      </c>
      <c r="M74" s="319">
        <f>K74*$C$37+L74*$D$37</f>
        <v>8.5925324675324681</v>
      </c>
      <c r="N74" s="321">
        <f>K74+L74*$F$36</f>
        <v>4.9019480519480521</v>
      </c>
      <c r="O74" s="318">
        <v>1</v>
      </c>
      <c r="P74" s="319"/>
      <c r="Q74" s="319">
        <f>'Carichi unitari'!$C$10*O74</f>
        <v>4.3019480519480524</v>
      </c>
      <c r="R74" s="319">
        <f>O74*'Carichi unitari'!$D$10</f>
        <v>2</v>
      </c>
      <c r="S74" s="319">
        <f>Q74*$C$37+R74*$D$37</f>
        <v>8.5925324675324681</v>
      </c>
      <c r="T74" s="321">
        <f>Q74+R74*$F$36</f>
        <v>4.9019480519480521</v>
      </c>
      <c r="U74" s="318">
        <v>1</v>
      </c>
      <c r="V74" s="319"/>
      <c r="W74" s="319">
        <f>'Carichi unitari'!$C$12*U74</f>
        <v>4.9619480519480526</v>
      </c>
      <c r="X74" s="319">
        <f>U74*'Carichi unitari'!$D$10</f>
        <v>2</v>
      </c>
      <c r="Y74" s="319">
        <f>W74*$C$37+X74*$D$37</f>
        <v>9.4505324675324687</v>
      </c>
      <c r="Z74" s="320">
        <f>W74+X74*$F$36</f>
        <v>5.5619480519480522</v>
      </c>
    </row>
    <row r="75" spans="1:26" x14ac:dyDescent="0.3">
      <c r="A75" s="541"/>
      <c r="B75" s="338" t="s">
        <v>247</v>
      </c>
      <c r="C75" s="299"/>
      <c r="D75" s="9"/>
      <c r="E75" s="9">
        <f>'Carichi unitari'!$C$17</f>
        <v>4.9890259740259744</v>
      </c>
      <c r="F75" s="9"/>
      <c r="G75" s="9">
        <f>E75*$C$37</f>
        <v>6.4857337662337669</v>
      </c>
      <c r="H75" s="282">
        <f>E75</f>
        <v>4.9890259740259744</v>
      </c>
      <c r="I75" s="299"/>
      <c r="J75" s="9"/>
      <c r="K75" s="9">
        <f>'Carichi unitari'!$C$17</f>
        <v>4.9890259740259744</v>
      </c>
      <c r="L75" s="9"/>
      <c r="M75" s="9">
        <f>K75*$C$37</f>
        <v>6.4857337662337669</v>
      </c>
      <c r="N75" s="282">
        <f>K75</f>
        <v>4.9890259740259744</v>
      </c>
      <c r="O75" s="299"/>
      <c r="P75" s="9"/>
      <c r="Q75" s="9">
        <f>'Carichi unitari'!$C$18</f>
        <v>4.2390259740259735</v>
      </c>
      <c r="R75" s="9"/>
      <c r="S75" s="9">
        <f>Q75*$C$37</f>
        <v>5.5107337662337654</v>
      </c>
      <c r="T75" s="282">
        <f>Q75</f>
        <v>4.2390259740259735</v>
      </c>
      <c r="U75" s="299"/>
      <c r="V75" s="9"/>
      <c r="W75" s="9">
        <f>'Carichi unitari'!$C$19</f>
        <v>3.4890259740259744</v>
      </c>
      <c r="X75" s="9"/>
      <c r="Y75" s="9">
        <f>W75*$C$37</f>
        <v>4.5357337662337667</v>
      </c>
      <c r="Z75" s="281">
        <f>W75</f>
        <v>3.4890259740259744</v>
      </c>
    </row>
    <row r="76" spans="1:26" x14ac:dyDescent="0.3">
      <c r="A76" s="541"/>
      <c r="B76" s="339" t="s">
        <v>44</v>
      </c>
      <c r="C76" s="299">
        <v>1</v>
      </c>
      <c r="D76" s="9"/>
      <c r="E76" s="9">
        <f>C76*'Carichi unitari'!$C$22</f>
        <v>5.9782359375000009</v>
      </c>
      <c r="F76" s="9"/>
      <c r="G76" s="9">
        <f>E76*$C$37</f>
        <v>7.7717067187500017</v>
      </c>
      <c r="H76" s="282">
        <f>E76</f>
        <v>5.9782359375000009</v>
      </c>
      <c r="I76" s="299">
        <v>1</v>
      </c>
      <c r="J76" s="9"/>
      <c r="K76" s="9">
        <f>I76*'Carichi unitari'!$C$22</f>
        <v>5.9782359375000009</v>
      </c>
      <c r="L76" s="9"/>
      <c r="M76" s="9">
        <f>K76*$C$37</f>
        <v>7.7717067187500017</v>
      </c>
      <c r="N76" s="282">
        <f>K76</f>
        <v>5.9782359375000009</v>
      </c>
      <c r="O76" s="299">
        <v>1</v>
      </c>
      <c r="P76" s="9"/>
      <c r="Q76" s="9">
        <f>O76*'Carichi unitari'!$C$22</f>
        <v>5.9782359375000009</v>
      </c>
      <c r="R76" s="9"/>
      <c r="S76" s="9">
        <f>Q76*$C$37</f>
        <v>7.7717067187500017</v>
      </c>
      <c r="T76" s="282">
        <f>Q76</f>
        <v>5.9782359375000009</v>
      </c>
      <c r="U76" s="299"/>
      <c r="V76" s="9"/>
      <c r="W76" s="9"/>
      <c r="X76" s="9"/>
      <c r="Y76" s="9"/>
      <c r="Z76" s="281"/>
    </row>
    <row r="77" spans="1:26" ht="15" thickBot="1" x14ac:dyDescent="0.35">
      <c r="A77" s="541"/>
      <c r="B77" s="340" t="s">
        <v>322</v>
      </c>
      <c r="C77" s="300"/>
      <c r="D77" s="301"/>
      <c r="E77" s="301"/>
      <c r="F77" s="301"/>
      <c r="G77" s="350">
        <f>SUM(G74:G76)</f>
        <v>22.849972952516239</v>
      </c>
      <c r="H77" s="351">
        <f>SUM(H74:H76)</f>
        <v>15.869209963474027</v>
      </c>
      <c r="I77" s="300"/>
      <c r="J77" s="301"/>
      <c r="K77" s="301"/>
      <c r="L77" s="301"/>
      <c r="M77" s="350">
        <f>SUM(M74:M76)</f>
        <v>22.849972952516239</v>
      </c>
      <c r="N77" s="351">
        <f>SUM(N74:N76)</f>
        <v>15.869209963474027</v>
      </c>
      <c r="O77" s="300"/>
      <c r="P77" s="301"/>
      <c r="Q77" s="301"/>
      <c r="R77" s="301"/>
      <c r="S77" s="350">
        <f>SUM(S74:S76)</f>
        <v>21.874972952516238</v>
      </c>
      <c r="T77" s="351">
        <f>SUM(T74:T76)</f>
        <v>15.119209963474026</v>
      </c>
      <c r="U77" s="300"/>
      <c r="V77" s="301"/>
      <c r="W77" s="301"/>
      <c r="X77" s="301"/>
      <c r="Y77" s="350">
        <f>SUM(Y74:Y76)</f>
        <v>13.986266233766235</v>
      </c>
      <c r="Z77" s="352">
        <f>SUM(Z74:Z76)</f>
        <v>9.0509740259740266</v>
      </c>
    </row>
    <row r="78" spans="1:26" ht="16.2" thickBot="1" x14ac:dyDescent="0.35">
      <c r="C78" s="535" t="s">
        <v>270</v>
      </c>
      <c r="D78" s="536"/>
      <c r="E78" s="536"/>
      <c r="F78" s="536"/>
      <c r="G78" s="536"/>
      <c r="H78" s="537"/>
      <c r="I78" s="535" t="s">
        <v>271</v>
      </c>
      <c r="J78" s="536"/>
      <c r="K78" s="536"/>
      <c r="L78" s="536"/>
      <c r="M78" s="536"/>
      <c r="N78" s="537"/>
      <c r="O78" s="535" t="s">
        <v>272</v>
      </c>
      <c r="P78" s="536"/>
      <c r="Q78" s="536"/>
      <c r="R78" s="536"/>
      <c r="S78" s="536"/>
      <c r="T78" s="537"/>
      <c r="U78" s="535" t="s">
        <v>273</v>
      </c>
      <c r="V78" s="536"/>
      <c r="W78" s="536"/>
      <c r="X78" s="536"/>
      <c r="Y78" s="536"/>
      <c r="Z78" s="537"/>
    </row>
    <row r="79" spans="1:26" ht="46.2" thickBot="1" x14ac:dyDescent="0.35">
      <c r="C79" s="304" t="s">
        <v>241</v>
      </c>
      <c r="D79" s="305" t="s">
        <v>242</v>
      </c>
      <c r="E79" s="306" t="s">
        <v>8</v>
      </c>
      <c r="F79" s="306" t="s">
        <v>9</v>
      </c>
      <c r="G79" s="307" t="s">
        <v>253</v>
      </c>
      <c r="H79" s="308" t="s">
        <v>254</v>
      </c>
      <c r="I79" s="304" t="s">
        <v>241</v>
      </c>
      <c r="J79" s="305" t="s">
        <v>242</v>
      </c>
      <c r="K79" s="306" t="s">
        <v>8</v>
      </c>
      <c r="L79" s="306" t="s">
        <v>9</v>
      </c>
      <c r="M79" s="307" t="s">
        <v>253</v>
      </c>
      <c r="N79" s="308" t="s">
        <v>254</v>
      </c>
      <c r="O79" s="304" t="s">
        <v>241</v>
      </c>
      <c r="P79" s="305" t="s">
        <v>242</v>
      </c>
      <c r="Q79" s="306" t="s">
        <v>8</v>
      </c>
      <c r="R79" s="306" t="s">
        <v>9</v>
      </c>
      <c r="S79" s="307" t="s">
        <v>253</v>
      </c>
      <c r="T79" s="308" t="s">
        <v>254</v>
      </c>
      <c r="U79" s="304" t="s">
        <v>241</v>
      </c>
      <c r="V79" s="305" t="s">
        <v>242</v>
      </c>
      <c r="W79" s="306" t="s">
        <v>8</v>
      </c>
      <c r="X79" s="306" t="s">
        <v>9</v>
      </c>
      <c r="Y79" s="307" t="s">
        <v>243</v>
      </c>
      <c r="Z79" s="308" t="s">
        <v>244</v>
      </c>
    </row>
    <row r="80" spans="1:26" ht="14.4" customHeight="1" x14ac:dyDescent="0.3">
      <c r="A80" s="547" t="s">
        <v>326</v>
      </c>
      <c r="B80" s="337" t="s">
        <v>42</v>
      </c>
      <c r="C80" s="318">
        <v>0.5</v>
      </c>
      <c r="D80" s="319"/>
      <c r="E80" s="319">
        <f>'Carichi unitari'!$C$10*C80</f>
        <v>2.1509740259740262</v>
      </c>
      <c r="F80" s="319">
        <f>C80*'Carichi unitari'!$D$10</f>
        <v>1</v>
      </c>
      <c r="G80" s="319">
        <f>E80*$C$37+F80*$D$37</f>
        <v>4.2962662337662341</v>
      </c>
      <c r="H80" s="321">
        <f>E80+F80*$F$36</f>
        <v>2.450974025974026</v>
      </c>
      <c r="I80" s="318"/>
      <c r="J80" s="319"/>
      <c r="K80" s="319"/>
      <c r="L80" s="319"/>
      <c r="M80" s="319"/>
      <c r="N80" s="321"/>
      <c r="O80" s="318"/>
      <c r="P80" s="319"/>
      <c r="Q80" s="319"/>
      <c r="R80" s="319"/>
      <c r="S80" s="319"/>
      <c r="T80" s="321"/>
      <c r="U80" s="318"/>
      <c r="V80" s="319"/>
      <c r="W80" s="319"/>
      <c r="X80" s="319"/>
      <c r="Y80" s="319"/>
      <c r="Z80" s="320"/>
    </row>
    <row r="81" spans="1:26" x14ac:dyDescent="0.3">
      <c r="A81" s="548"/>
      <c r="B81" s="338" t="s">
        <v>247</v>
      </c>
      <c r="C81" s="299"/>
      <c r="D81" s="9"/>
      <c r="E81" s="9">
        <f>'Carichi unitari'!$C$17</f>
        <v>4.9890259740259744</v>
      </c>
      <c r="F81" s="9"/>
      <c r="G81" s="9">
        <f>E81*$C$37</f>
        <v>6.4857337662337669</v>
      </c>
      <c r="H81" s="282">
        <f>E81</f>
        <v>4.9890259740259744</v>
      </c>
      <c r="I81" s="299"/>
      <c r="J81" s="9"/>
      <c r="K81" s="9">
        <f>'Carichi unitari'!$C$17</f>
        <v>4.9890259740259744</v>
      </c>
      <c r="L81" s="9"/>
      <c r="M81" s="9">
        <f>K81*$C$37</f>
        <v>6.4857337662337669</v>
      </c>
      <c r="N81" s="282">
        <f>K81</f>
        <v>4.9890259740259744</v>
      </c>
      <c r="O81" s="299"/>
      <c r="P81" s="9"/>
      <c r="Q81" s="9">
        <f>'Carichi unitari'!$C$18</f>
        <v>4.2390259740259735</v>
      </c>
      <c r="R81" s="9"/>
      <c r="S81" s="9">
        <f>Q81*$C$37</f>
        <v>5.5107337662337654</v>
      </c>
      <c r="T81" s="282">
        <f>Q81</f>
        <v>4.2390259740259735</v>
      </c>
      <c r="U81" s="299"/>
      <c r="V81" s="9"/>
      <c r="W81" s="9">
        <f>'Carichi unitari'!$C$19</f>
        <v>3.4890259740259744</v>
      </c>
      <c r="X81" s="9"/>
      <c r="Y81" s="9">
        <f>W81*$C$37</f>
        <v>4.5357337662337667</v>
      </c>
      <c r="Z81" s="281">
        <f>W81</f>
        <v>3.4890259740259744</v>
      </c>
    </row>
    <row r="82" spans="1:26" x14ac:dyDescent="0.3">
      <c r="A82" s="548"/>
      <c r="B82" s="338" t="s">
        <v>45</v>
      </c>
      <c r="C82" s="299"/>
      <c r="D82" s="9"/>
      <c r="E82" s="9"/>
      <c r="F82" s="9"/>
      <c r="G82" s="9"/>
      <c r="H82" s="282"/>
      <c r="I82" s="299">
        <f>1.5*2</f>
        <v>3</v>
      </c>
      <c r="J82" s="9">
        <v>1.1000000000000001</v>
      </c>
      <c r="K82" s="9">
        <f>I82*J82*'Carichi unitari'!$C$14</f>
        <v>12.970909090909092</v>
      </c>
      <c r="L82" s="9">
        <f>I82*J82*'Carichi unitari'!$D$14</f>
        <v>13.200000000000001</v>
      </c>
      <c r="M82" s="9">
        <f>K82*$C$37+L82*$D$37</f>
        <v>36.662181818181821</v>
      </c>
      <c r="N82" s="282">
        <f>K82+L82*$G$36</f>
        <v>20.890909090909091</v>
      </c>
      <c r="O82" s="299">
        <f>1.5*2</f>
        <v>3</v>
      </c>
      <c r="P82" s="9">
        <v>1.1000000000000001</v>
      </c>
      <c r="Q82" s="9">
        <f>O82*P82*'Carichi unitari'!$C$14</f>
        <v>12.970909090909092</v>
      </c>
      <c r="R82" s="9">
        <f>O82*P82*'Carichi unitari'!$D$14</f>
        <v>13.200000000000001</v>
      </c>
      <c r="S82" s="9">
        <f>Q82*$C$37+R82*$D$37</f>
        <v>36.662181818181821</v>
      </c>
      <c r="T82" s="282">
        <f>Q82+R82*$G$36</f>
        <v>20.890909090909091</v>
      </c>
      <c r="U82" s="299">
        <f>0.5*2</f>
        <v>1</v>
      </c>
      <c r="V82" s="9">
        <v>1.1000000000000001</v>
      </c>
      <c r="W82" s="329">
        <f>'Carichi unitari'!$C$15*U82*V82</f>
        <v>3.8500000000000005</v>
      </c>
      <c r="X82" s="329">
        <f>'Carichi unitari'!$D$15</f>
        <v>0.5</v>
      </c>
      <c r="Y82" s="329">
        <f>W82*$C$37+X82*$D$37</f>
        <v>5.7550000000000008</v>
      </c>
      <c r="Z82" s="334">
        <f>W82</f>
        <v>3.8500000000000005</v>
      </c>
    </row>
    <row r="83" spans="1:26" x14ac:dyDescent="0.3">
      <c r="A83" s="549"/>
      <c r="B83" s="339" t="s">
        <v>44</v>
      </c>
      <c r="C83" s="299">
        <v>0.9</v>
      </c>
      <c r="D83" s="9"/>
      <c r="E83" s="9">
        <f>C83*'Carichi unitari'!$C$22</f>
        <v>5.3804123437500007</v>
      </c>
      <c r="F83" s="9"/>
      <c r="G83" s="9">
        <f>E83*$C$37</f>
        <v>6.9945360468750009</v>
      </c>
      <c r="H83" s="282">
        <f>E83</f>
        <v>5.3804123437500007</v>
      </c>
      <c r="I83" s="299">
        <v>0.8</v>
      </c>
      <c r="J83" s="9"/>
      <c r="K83" s="9">
        <f>I83*'Carichi unitari'!$C$22</f>
        <v>4.7825887500000013</v>
      </c>
      <c r="L83" s="9"/>
      <c r="M83" s="9">
        <f>K83*$C$37</f>
        <v>6.2173653750000017</v>
      </c>
      <c r="N83" s="282">
        <f>K83</f>
        <v>4.7825887500000013</v>
      </c>
      <c r="O83" s="299">
        <v>0.8</v>
      </c>
      <c r="P83" s="9"/>
      <c r="Q83" s="9">
        <f>O83*'Carichi unitari'!$C$22</f>
        <v>4.7825887500000013</v>
      </c>
      <c r="R83" s="9"/>
      <c r="S83" s="9">
        <f>Q83*$C$37</f>
        <v>6.2173653750000017</v>
      </c>
      <c r="T83" s="282">
        <f>Q83</f>
        <v>4.7825887500000013</v>
      </c>
      <c r="U83" s="299"/>
      <c r="V83" s="9"/>
      <c r="W83" s="9"/>
      <c r="X83" s="9"/>
      <c r="Y83" s="9"/>
      <c r="Z83" s="281"/>
    </row>
    <row r="84" spans="1:26" ht="15" thickBot="1" x14ac:dyDescent="0.35">
      <c r="B84" s="340" t="s">
        <v>322</v>
      </c>
      <c r="C84" s="300"/>
      <c r="D84" s="301"/>
      <c r="E84" s="301"/>
      <c r="F84" s="301"/>
      <c r="G84" s="350">
        <f>SUM(G80:G83)</f>
        <v>17.776536046875002</v>
      </c>
      <c r="H84" s="351">
        <f>SUM(H80:H83)</f>
        <v>12.82041234375</v>
      </c>
      <c r="I84" s="300"/>
      <c r="J84" s="301"/>
      <c r="K84" s="301"/>
      <c r="L84" s="301"/>
      <c r="M84" s="350">
        <f>SUM(M80:M83)</f>
        <v>49.365280959415585</v>
      </c>
      <c r="N84" s="351">
        <f>SUM(N80:N83)</f>
        <v>30.662523814935067</v>
      </c>
      <c r="O84" s="300"/>
      <c r="P84" s="301"/>
      <c r="Q84" s="301"/>
      <c r="R84" s="301"/>
      <c r="S84" s="350">
        <f>SUM(S80:S83)</f>
        <v>48.390280959415584</v>
      </c>
      <c r="T84" s="351">
        <f>SUM(T80:T83)</f>
        <v>29.912523814935067</v>
      </c>
      <c r="U84" s="300"/>
      <c r="V84" s="301"/>
      <c r="W84" s="301"/>
      <c r="X84" s="301"/>
      <c r="Y84" s="350">
        <f>SUM(Y80:Y83)</f>
        <v>10.290733766233767</v>
      </c>
      <c r="Z84" s="352">
        <f>SUM(Z80:Z83)</f>
        <v>7.3390259740259749</v>
      </c>
    </row>
    <row r="85" spans="1:26" x14ac:dyDescent="0.3">
      <c r="A85" s="533" t="s">
        <v>274</v>
      </c>
      <c r="B85" s="337" t="s">
        <v>247</v>
      </c>
      <c r="C85" s="299"/>
      <c r="D85" s="9"/>
      <c r="E85" s="9">
        <f>'Carichi unitari'!$C$17</f>
        <v>4.9890259740259744</v>
      </c>
      <c r="F85" s="9"/>
      <c r="G85" s="9">
        <f>E85*$C$37</f>
        <v>6.4857337662337669</v>
      </c>
      <c r="H85" s="282">
        <f>E85</f>
        <v>4.9890259740259744</v>
      </c>
      <c r="I85" s="299"/>
      <c r="J85" s="9"/>
      <c r="K85" s="9">
        <f>'Carichi unitari'!$C$17</f>
        <v>4.9890259740259744</v>
      </c>
      <c r="L85" s="9"/>
      <c r="M85" s="9">
        <f>K85*$C$37</f>
        <v>6.4857337662337669</v>
      </c>
      <c r="N85" s="282">
        <f>K85</f>
        <v>4.9890259740259744</v>
      </c>
      <c r="O85" s="299"/>
      <c r="P85" s="9"/>
      <c r="Q85" s="9">
        <f>'Carichi unitari'!$C$18</f>
        <v>4.2390259740259735</v>
      </c>
      <c r="R85" s="9"/>
      <c r="S85" s="9">
        <f>Q85*$C$37</f>
        <v>5.5107337662337654</v>
      </c>
      <c r="T85" s="282">
        <f>Q85</f>
        <v>4.2390259740259735</v>
      </c>
      <c r="U85" s="318"/>
      <c r="V85" s="319"/>
      <c r="W85" s="319">
        <f>'Carichi unitari'!$C$19</f>
        <v>3.4890259740259744</v>
      </c>
      <c r="X85" s="319"/>
      <c r="Y85" s="319">
        <f>W85*$C$37</f>
        <v>4.5357337662337667</v>
      </c>
      <c r="Z85" s="320">
        <f>W85</f>
        <v>3.4890259740259744</v>
      </c>
    </row>
    <row r="86" spans="1:26" x14ac:dyDescent="0.3">
      <c r="A86" s="534"/>
      <c r="B86" s="339" t="s">
        <v>43</v>
      </c>
      <c r="C86" s="333">
        <v>2.2999999999999998</v>
      </c>
      <c r="D86" s="329">
        <v>1</v>
      </c>
      <c r="E86" s="329">
        <f>C86*D86*'Carichi unitari'!$C$16</f>
        <v>16.21086</v>
      </c>
      <c r="F86" s="329">
        <f>'Carichi unitari'!$D$16*C86*D86</f>
        <v>9.1999999999999993</v>
      </c>
      <c r="G86" s="329">
        <f>E86*$C$37+F86*$D$37</f>
        <v>34.874118000000003</v>
      </c>
      <c r="H86" s="376">
        <f>E86+F86*$G$36</f>
        <v>21.73086</v>
      </c>
      <c r="I86" s="333">
        <v>2.2999999999999998</v>
      </c>
      <c r="J86" s="329">
        <v>1</v>
      </c>
      <c r="K86" s="329">
        <f>I86*J86*'Carichi unitari'!$C$16</f>
        <v>16.21086</v>
      </c>
      <c r="L86" s="329">
        <f>'Carichi unitari'!$D$16*I86*J86</f>
        <v>9.1999999999999993</v>
      </c>
      <c r="M86" s="329">
        <f>K86*$C$37+L86*$D$37</f>
        <v>34.874118000000003</v>
      </c>
      <c r="N86" s="376">
        <f>K86+L86*$G$36</f>
        <v>21.73086</v>
      </c>
      <c r="O86" s="333">
        <v>2.2999999999999998</v>
      </c>
      <c r="P86" s="329">
        <v>1</v>
      </c>
      <c r="Q86" s="329">
        <f>O86*P86*'Carichi unitari'!$C$16</f>
        <v>16.21086</v>
      </c>
      <c r="R86" s="329">
        <f>'Carichi unitari'!$D$16*O86*P86</f>
        <v>9.1999999999999993</v>
      </c>
      <c r="S86" s="329">
        <f>Q86*$C$37+R86*$D$37</f>
        <v>34.874118000000003</v>
      </c>
      <c r="T86" s="376">
        <f>Q86+R86*$G$36</f>
        <v>21.73086</v>
      </c>
      <c r="U86" s="333">
        <f>C86/2</f>
        <v>1.1499999999999999</v>
      </c>
      <c r="V86" s="329">
        <v>1</v>
      </c>
      <c r="W86" s="329">
        <f>U86*V86*'Carichi unitari'!$C$16</f>
        <v>8.1054300000000001</v>
      </c>
      <c r="X86" s="329">
        <f>'Carichi unitari'!$D$16*U86*V86</f>
        <v>4.5999999999999996</v>
      </c>
      <c r="Y86" s="329">
        <f>W86*$C$37+X86*$D$37</f>
        <v>17.437059000000001</v>
      </c>
      <c r="Z86" s="334">
        <f>W86+X86*$G$36</f>
        <v>10.86543</v>
      </c>
    </row>
    <row r="87" spans="1:26" x14ac:dyDescent="0.3">
      <c r="B87" s="339" t="s">
        <v>44</v>
      </c>
      <c r="C87" s="299">
        <v>0.9</v>
      </c>
      <c r="D87" s="9"/>
      <c r="E87" s="9">
        <f>C87*'Carichi unitari'!$C$22</f>
        <v>5.3804123437500007</v>
      </c>
      <c r="F87" s="9"/>
      <c r="G87" s="9">
        <f>E87*$C$37</f>
        <v>6.9945360468750009</v>
      </c>
      <c r="H87" s="282">
        <f>E87</f>
        <v>5.3804123437500007</v>
      </c>
      <c r="I87" s="299">
        <v>0.9</v>
      </c>
      <c r="J87" s="9"/>
      <c r="K87" s="9">
        <f>I87*'Carichi unitari'!$C$22</f>
        <v>5.3804123437500007</v>
      </c>
      <c r="L87" s="9"/>
      <c r="M87" s="9">
        <f>K87*$C$37</f>
        <v>6.9945360468750009</v>
      </c>
      <c r="N87" s="282">
        <f>K87</f>
        <v>5.3804123437500007</v>
      </c>
      <c r="O87" s="299">
        <v>0.9</v>
      </c>
      <c r="P87" s="9"/>
      <c r="Q87" s="9">
        <f>O87*'Carichi unitari'!$C$22</f>
        <v>5.3804123437500007</v>
      </c>
      <c r="R87" s="9"/>
      <c r="S87" s="9">
        <f>Q87*$C$37</f>
        <v>6.9945360468750009</v>
      </c>
      <c r="T87" s="282">
        <f>Q87</f>
        <v>5.3804123437500007</v>
      </c>
      <c r="U87" s="299">
        <f>0.5</f>
        <v>0.5</v>
      </c>
      <c r="V87" s="9">
        <v>1.1000000000000001</v>
      </c>
      <c r="W87" s="329">
        <f>'Carichi unitari'!$C$15*U87*V87</f>
        <v>1.9250000000000003</v>
      </c>
      <c r="X87" s="329">
        <f>'Carichi unitari'!$D$15</f>
        <v>0.5</v>
      </c>
      <c r="Y87" s="329">
        <f>W87*$C$37+X87*$D$37</f>
        <v>3.2525000000000004</v>
      </c>
      <c r="Z87" s="334">
        <f>W87</f>
        <v>1.9250000000000003</v>
      </c>
    </row>
    <row r="88" spans="1:26" ht="15" thickBot="1" x14ac:dyDescent="0.35">
      <c r="B88" s="340" t="s">
        <v>261</v>
      </c>
      <c r="C88" s="300"/>
      <c r="D88" s="301"/>
      <c r="E88" s="301"/>
      <c r="F88" s="301"/>
      <c r="G88" s="350">
        <f>SUM(G85:G87)</f>
        <v>48.354387813108765</v>
      </c>
      <c r="H88" s="351">
        <f>SUM(H85:H87)</f>
        <v>32.100298317775973</v>
      </c>
      <c r="I88" s="300"/>
      <c r="J88" s="301"/>
      <c r="K88" s="301"/>
      <c r="L88" s="301"/>
      <c r="M88" s="350">
        <f>SUM(M85:M87)</f>
        <v>48.354387813108765</v>
      </c>
      <c r="N88" s="351">
        <f>SUM(N85:N87)</f>
        <v>32.100298317775973</v>
      </c>
      <c r="O88" s="300"/>
      <c r="P88" s="301"/>
      <c r="Q88" s="301"/>
      <c r="R88" s="301"/>
      <c r="S88" s="350">
        <f>SUM(S85:S87)</f>
        <v>47.379387813108764</v>
      </c>
      <c r="T88" s="351">
        <f>SUM(T85:T87)</f>
        <v>31.350298317775973</v>
      </c>
      <c r="U88" s="300"/>
      <c r="V88" s="301"/>
      <c r="W88" s="301"/>
      <c r="X88" s="301"/>
      <c r="Y88" s="350">
        <f>SUM(Y85:Y87)</f>
        <v>25.225292766233768</v>
      </c>
      <c r="Z88" s="352">
        <f>SUM(Z85:Z87)</f>
        <v>16.279455974025975</v>
      </c>
    </row>
    <row r="89" spans="1:26" x14ac:dyDescent="0.3">
      <c r="A89" s="533" t="s">
        <v>275</v>
      </c>
      <c r="B89" s="337" t="s">
        <v>42</v>
      </c>
      <c r="C89" s="299">
        <f>0.5*2</f>
        <v>1</v>
      </c>
      <c r="D89" s="9"/>
      <c r="E89" s="9">
        <f>'Carichi unitari'!$C$10*C89</f>
        <v>4.3019480519480524</v>
      </c>
      <c r="F89" s="9">
        <f>C89*'Carichi unitari'!$D$10</f>
        <v>2</v>
      </c>
      <c r="G89" s="9">
        <f>E89*$C$37+F89*$D$37</f>
        <v>8.5925324675324681</v>
      </c>
      <c r="H89" s="281">
        <f>E89+F89*$F$36</f>
        <v>4.9019480519480521</v>
      </c>
      <c r="I89" s="299">
        <f>0.5*2</f>
        <v>1</v>
      </c>
      <c r="J89" s="9"/>
      <c r="K89" s="9">
        <f>'Carichi unitari'!$C$10*I89</f>
        <v>4.3019480519480524</v>
      </c>
      <c r="L89" s="9">
        <f>I89*'Carichi unitari'!$D$10</f>
        <v>2</v>
      </c>
      <c r="M89" s="9">
        <f>K89*$C$37+L89*$D$37</f>
        <v>8.5925324675324681</v>
      </c>
      <c r="N89" s="281">
        <f>K89+L89*$F$36</f>
        <v>4.9019480519480521</v>
      </c>
      <c r="O89" s="299">
        <f>0.5*2</f>
        <v>1</v>
      </c>
      <c r="P89" s="9"/>
      <c r="Q89" s="9">
        <f>'Carichi unitari'!$C$10*O89</f>
        <v>4.3019480519480524</v>
      </c>
      <c r="R89" s="9">
        <f>O89*'Carichi unitari'!$D$10</f>
        <v>2</v>
      </c>
      <c r="S89" s="9">
        <f>Q89*$C$37+R89*$D$37</f>
        <v>8.5925324675324681</v>
      </c>
      <c r="T89" s="281">
        <f>Q89+R89*$F$36</f>
        <v>4.9019480519480521</v>
      </c>
      <c r="U89" s="318">
        <f>0.5*2</f>
        <v>1</v>
      </c>
      <c r="V89" s="319"/>
      <c r="W89" s="319">
        <f>'Carichi unitari'!$C$12*U89</f>
        <v>4.9619480519480526</v>
      </c>
      <c r="X89" s="319">
        <f>U89*'Carichi unitari'!$D$10</f>
        <v>2</v>
      </c>
      <c r="Y89" s="319">
        <f>W89*$C$37+X89*$D$37</f>
        <v>9.4505324675324687</v>
      </c>
      <c r="Z89" s="320">
        <f>W89+X89*$F$36</f>
        <v>5.5619480519480522</v>
      </c>
    </row>
    <row r="90" spans="1:26" x14ac:dyDescent="0.3">
      <c r="A90" s="534"/>
      <c r="B90" s="346" t="s">
        <v>247</v>
      </c>
      <c r="C90" s="309"/>
      <c r="D90" s="310"/>
      <c r="E90" s="310">
        <f>'Carichi unitari'!$C$21</f>
        <v>1.8468311688311685</v>
      </c>
      <c r="F90" s="310"/>
      <c r="G90" s="310">
        <f>E90*$C$37</f>
        <v>2.4008805194805189</v>
      </c>
      <c r="H90" s="311">
        <f>E90</f>
        <v>1.8468311688311685</v>
      </c>
      <c r="I90" s="309"/>
      <c r="J90" s="310"/>
      <c r="K90" s="310">
        <f>'Carichi unitari'!$C$21</f>
        <v>1.8468311688311685</v>
      </c>
      <c r="L90" s="310"/>
      <c r="M90" s="310">
        <f>K90*$C$37</f>
        <v>2.4008805194805189</v>
      </c>
      <c r="N90" s="311">
        <f>K90</f>
        <v>1.8468311688311685</v>
      </c>
      <c r="O90" s="309"/>
      <c r="P90" s="310"/>
      <c r="Q90" s="310">
        <f>'Carichi unitari'!$C$21</f>
        <v>1.8468311688311685</v>
      </c>
      <c r="R90" s="310"/>
      <c r="S90" s="310">
        <f>Q90*$C$37</f>
        <v>2.4008805194805189</v>
      </c>
      <c r="T90" s="311">
        <f>Q90</f>
        <v>1.8468311688311685</v>
      </c>
      <c r="U90" s="309"/>
      <c r="V90" s="310"/>
      <c r="W90" s="310">
        <f>'Carichi unitari'!$C$21</f>
        <v>1.8468311688311685</v>
      </c>
      <c r="X90" s="310"/>
      <c r="Y90" s="310">
        <f>W90*$C$37</f>
        <v>2.4008805194805189</v>
      </c>
      <c r="Z90" s="311">
        <f>W90</f>
        <v>1.8468311688311685</v>
      </c>
    </row>
    <row r="91" spans="1:26" x14ac:dyDescent="0.3">
      <c r="A91" s="328"/>
      <c r="B91" s="339" t="s">
        <v>356</v>
      </c>
      <c r="C91" s="309">
        <f>C89</f>
        <v>1</v>
      </c>
      <c r="D91" s="310"/>
      <c r="E91" s="310">
        <f>'Carichi unitari'!$C$11*C91</f>
        <v>1.2</v>
      </c>
      <c r="F91" s="310"/>
      <c r="G91" s="310">
        <f>E91*$D$37</f>
        <v>1.7999999999999998</v>
      </c>
      <c r="H91" s="311">
        <f>E91</f>
        <v>1.2</v>
      </c>
      <c r="I91" s="309">
        <f>I89</f>
        <v>1</v>
      </c>
      <c r="J91" s="310"/>
      <c r="K91" s="310">
        <f>'Carichi unitari'!$C$11*I91</f>
        <v>1.2</v>
      </c>
      <c r="L91" s="310"/>
      <c r="M91" s="310">
        <f>K91*$D$37</f>
        <v>1.7999999999999998</v>
      </c>
      <c r="N91" s="311">
        <f>K91</f>
        <v>1.2</v>
      </c>
      <c r="O91" s="309">
        <f>O89</f>
        <v>1</v>
      </c>
      <c r="P91" s="310"/>
      <c r="Q91" s="310">
        <f>'Carichi unitari'!$C$11*O91</f>
        <v>1.2</v>
      </c>
      <c r="R91" s="310"/>
      <c r="S91" s="310">
        <f>Q91*$D$37</f>
        <v>1.7999999999999998</v>
      </c>
      <c r="T91" s="311">
        <f>Q91</f>
        <v>1.2</v>
      </c>
      <c r="U91" s="309"/>
      <c r="V91" s="310"/>
      <c r="W91" s="310"/>
      <c r="X91" s="310"/>
      <c r="Y91" s="310"/>
      <c r="Z91" s="311"/>
    </row>
    <row r="92" spans="1:26" ht="15" thickBot="1" x14ac:dyDescent="0.35">
      <c r="B92" s="340" t="s">
        <v>261</v>
      </c>
      <c r="C92" s="300"/>
      <c r="D92" s="301"/>
      <c r="E92" s="301"/>
      <c r="F92" s="301"/>
      <c r="G92" s="350">
        <f>SUM(G89:G91)</f>
        <v>12.793412987012989</v>
      </c>
      <c r="H92" s="350">
        <f>SUM(H89:H91)</f>
        <v>7.9487792207792207</v>
      </c>
      <c r="I92" s="300"/>
      <c r="J92" s="301"/>
      <c r="K92" s="301"/>
      <c r="L92" s="301"/>
      <c r="M92" s="350">
        <f>SUM(M89:M91)</f>
        <v>12.793412987012989</v>
      </c>
      <c r="N92" s="350">
        <f>SUM(N89:N91)</f>
        <v>7.9487792207792207</v>
      </c>
      <c r="O92" s="300"/>
      <c r="P92" s="301"/>
      <c r="Q92" s="301"/>
      <c r="R92" s="301"/>
      <c r="S92" s="350">
        <f>SUM(S89:S91)</f>
        <v>12.793412987012989</v>
      </c>
      <c r="T92" s="350">
        <f>SUM(T89:T91)</f>
        <v>7.9487792207792207</v>
      </c>
      <c r="U92" s="300"/>
      <c r="V92" s="301"/>
      <c r="W92" s="301"/>
      <c r="X92" s="301"/>
      <c r="Y92" s="350">
        <f>SUM(Y89:Y91)</f>
        <v>11.851412987012989</v>
      </c>
      <c r="Z92" s="352">
        <f>SUM(Z89:Z91)</f>
        <v>7.4087792207792207</v>
      </c>
    </row>
    <row r="93" spans="1:26" x14ac:dyDescent="0.3">
      <c r="A93" s="541" t="s">
        <v>276</v>
      </c>
      <c r="B93" s="337" t="s">
        <v>42</v>
      </c>
      <c r="C93" s="318">
        <v>1</v>
      </c>
      <c r="D93" s="319"/>
      <c r="E93" s="319">
        <f>'Carichi unitari'!$C$10*C93</f>
        <v>4.3019480519480524</v>
      </c>
      <c r="F93" s="319">
        <f>C93*'Carichi unitari'!$D$10</f>
        <v>2</v>
      </c>
      <c r="G93" s="319">
        <f>E93*$C$37+F93*$D$37</f>
        <v>8.5925324675324681</v>
      </c>
      <c r="H93" s="321">
        <f>E93+F93*$F$36</f>
        <v>4.9019480519480521</v>
      </c>
      <c r="I93" s="318">
        <v>1</v>
      </c>
      <c r="J93" s="319"/>
      <c r="K93" s="319">
        <f>'Carichi unitari'!$C$10*I93</f>
        <v>4.3019480519480524</v>
      </c>
      <c r="L93" s="319">
        <f>I93*'Carichi unitari'!$D$10</f>
        <v>2</v>
      </c>
      <c r="M93" s="319">
        <f>K93*$C$37+L93*$D$37</f>
        <v>8.5925324675324681</v>
      </c>
      <c r="N93" s="321">
        <f>K93+L93*$F$36</f>
        <v>4.9019480519480521</v>
      </c>
      <c r="O93" s="318">
        <v>1</v>
      </c>
      <c r="P93" s="319"/>
      <c r="Q93" s="319">
        <f>'Carichi unitari'!$C$10*O93</f>
        <v>4.3019480519480524</v>
      </c>
      <c r="R93" s="319">
        <f>O93*'Carichi unitari'!$D$10</f>
        <v>2</v>
      </c>
      <c r="S93" s="319">
        <f>Q93*$C$37+R93*$D$37</f>
        <v>8.5925324675324681</v>
      </c>
      <c r="T93" s="321">
        <f>Q93+R93*$F$36</f>
        <v>4.9019480519480521</v>
      </c>
      <c r="U93" s="318">
        <v>1</v>
      </c>
      <c r="V93" s="319"/>
      <c r="W93" s="319">
        <f>'Carichi unitari'!$C$12*U93</f>
        <v>4.9619480519480526</v>
      </c>
      <c r="X93" s="319">
        <f>U93*'Carichi unitari'!$D$10</f>
        <v>2</v>
      </c>
      <c r="Y93" s="319">
        <f>W93*$C$37+X93*$D$37</f>
        <v>9.4505324675324687</v>
      </c>
      <c r="Z93" s="320">
        <f>W93+X93*$F$36</f>
        <v>5.5619480519480522</v>
      </c>
    </row>
    <row r="94" spans="1:26" x14ac:dyDescent="0.3">
      <c r="A94" s="542"/>
      <c r="B94" s="338" t="s">
        <v>247</v>
      </c>
      <c r="C94" s="299"/>
      <c r="D94" s="9"/>
      <c r="E94" s="9">
        <f>'Carichi unitari'!$C$17</f>
        <v>4.9890259740259744</v>
      </c>
      <c r="F94" s="9"/>
      <c r="G94" s="9">
        <f>E94*$C$37</f>
        <v>6.4857337662337669</v>
      </c>
      <c r="H94" s="282">
        <f>E94</f>
        <v>4.9890259740259744</v>
      </c>
      <c r="I94" s="299"/>
      <c r="J94" s="9"/>
      <c r="K94" s="9">
        <f>'Carichi unitari'!$C$17</f>
        <v>4.9890259740259744</v>
      </c>
      <c r="L94" s="9"/>
      <c r="M94" s="9">
        <f>K94*$C$37</f>
        <v>6.4857337662337669</v>
      </c>
      <c r="N94" s="282">
        <f>K94</f>
        <v>4.9890259740259744</v>
      </c>
      <c r="O94" s="299"/>
      <c r="P94" s="9"/>
      <c r="Q94" s="9">
        <f>'Carichi unitari'!$C$18</f>
        <v>4.2390259740259735</v>
      </c>
      <c r="R94" s="9"/>
      <c r="S94" s="9">
        <f>Q94*$C$37</f>
        <v>5.5107337662337654</v>
      </c>
      <c r="T94" s="282">
        <f>Q94</f>
        <v>4.2390259740259735</v>
      </c>
      <c r="U94" s="299"/>
      <c r="V94" s="9"/>
      <c r="W94" s="9">
        <f>'Carichi unitari'!$C$19</f>
        <v>3.4890259740259744</v>
      </c>
      <c r="X94" s="9"/>
      <c r="Y94" s="9">
        <f>W94*$C$37</f>
        <v>4.5357337662337667</v>
      </c>
      <c r="Z94" s="281">
        <f>W94</f>
        <v>3.4890259740259744</v>
      </c>
    </row>
    <row r="95" spans="1:26" x14ac:dyDescent="0.3">
      <c r="B95" s="339" t="s">
        <v>356</v>
      </c>
      <c r="C95" s="309">
        <f>C93</f>
        <v>1</v>
      </c>
      <c r="D95" s="310"/>
      <c r="E95" s="310">
        <f>'Carichi unitari'!$C$11*C95</f>
        <v>1.2</v>
      </c>
      <c r="F95" s="310"/>
      <c r="G95" s="310">
        <f>E95*$D$37</f>
        <v>1.7999999999999998</v>
      </c>
      <c r="H95" s="311">
        <f>E95</f>
        <v>1.2</v>
      </c>
      <c r="I95" s="309">
        <f>I93</f>
        <v>1</v>
      </c>
      <c r="J95" s="310"/>
      <c r="K95" s="310">
        <f>'Carichi unitari'!$C$11*I95</f>
        <v>1.2</v>
      </c>
      <c r="L95" s="310"/>
      <c r="M95" s="310">
        <f>K95*$D$37</f>
        <v>1.7999999999999998</v>
      </c>
      <c r="N95" s="311">
        <f>K95</f>
        <v>1.2</v>
      </c>
      <c r="O95" s="309">
        <f>O93</f>
        <v>1</v>
      </c>
      <c r="P95" s="310"/>
      <c r="Q95" s="310">
        <f>'Carichi unitari'!$C$11*O95</f>
        <v>1.2</v>
      </c>
      <c r="R95" s="310"/>
      <c r="S95" s="310">
        <f>Q95*$D$37</f>
        <v>1.7999999999999998</v>
      </c>
      <c r="T95" s="311">
        <f>Q95</f>
        <v>1.2</v>
      </c>
      <c r="U95" s="299"/>
      <c r="V95" s="9"/>
      <c r="W95" s="9"/>
      <c r="X95" s="9"/>
      <c r="Y95" s="9"/>
      <c r="Z95" s="281"/>
    </row>
    <row r="96" spans="1:26" ht="15" thickBot="1" x14ac:dyDescent="0.35">
      <c r="B96" s="340" t="s">
        <v>261</v>
      </c>
      <c r="C96" s="300"/>
      <c r="D96" s="301"/>
      <c r="E96" s="301"/>
      <c r="F96" s="301"/>
      <c r="G96" s="350">
        <f>SUM(G93:G95)</f>
        <v>16.878266233766237</v>
      </c>
      <c r="H96" s="351">
        <f>SUM(H93:H95)</f>
        <v>11.090974025974026</v>
      </c>
      <c r="I96" s="300"/>
      <c r="J96" s="301"/>
      <c r="K96" s="301"/>
      <c r="L96" s="301"/>
      <c r="M96" s="350">
        <f>SUM(M93:M95)</f>
        <v>16.878266233766237</v>
      </c>
      <c r="N96" s="351">
        <f>SUM(N93:N95)</f>
        <v>11.090974025974026</v>
      </c>
      <c r="O96" s="300"/>
      <c r="P96" s="301"/>
      <c r="Q96" s="301"/>
      <c r="R96" s="301"/>
      <c r="S96" s="350">
        <f>SUM(S93:S95)</f>
        <v>15.903266233766235</v>
      </c>
      <c r="T96" s="351">
        <f>SUM(T93:T95)</f>
        <v>10.340974025974024</v>
      </c>
      <c r="U96" s="300"/>
      <c r="V96" s="301"/>
      <c r="W96" s="301"/>
      <c r="X96" s="301"/>
      <c r="Y96" s="350">
        <f>SUM(Y93:Y95)</f>
        <v>13.986266233766235</v>
      </c>
      <c r="Z96" s="352">
        <f>SUM(Z93:Z95)</f>
        <v>9.0509740259740266</v>
      </c>
    </row>
    <row r="97" spans="1:26" ht="16.2" thickBot="1" x14ac:dyDescent="0.35">
      <c r="C97" s="543" t="s">
        <v>277</v>
      </c>
      <c r="D97" s="544"/>
      <c r="E97" s="544"/>
      <c r="F97" s="544"/>
      <c r="G97" s="544"/>
      <c r="H97" s="545"/>
      <c r="I97" s="538" t="s">
        <v>278</v>
      </c>
      <c r="J97" s="539"/>
      <c r="K97" s="539"/>
      <c r="L97" s="539"/>
      <c r="M97" s="539"/>
      <c r="N97" s="540"/>
      <c r="O97" s="538" t="s">
        <v>279</v>
      </c>
      <c r="P97" s="539"/>
      <c r="Q97" s="539"/>
      <c r="R97" s="539"/>
      <c r="S97" s="539"/>
      <c r="T97" s="540"/>
      <c r="U97" s="538" t="s">
        <v>280</v>
      </c>
      <c r="V97" s="539"/>
      <c r="W97" s="539"/>
      <c r="X97" s="539"/>
      <c r="Y97" s="539"/>
      <c r="Z97" s="540"/>
    </row>
    <row r="98" spans="1:26" ht="46.2" thickBot="1" x14ac:dyDescent="0.35">
      <c r="B98" s="150"/>
      <c r="C98" s="313" t="s">
        <v>241</v>
      </c>
      <c r="D98" s="314" t="s">
        <v>242</v>
      </c>
      <c r="E98" s="315" t="s">
        <v>8</v>
      </c>
      <c r="F98" s="315" t="s">
        <v>9</v>
      </c>
      <c r="G98" s="316" t="s">
        <v>253</v>
      </c>
      <c r="H98" s="317" t="s">
        <v>254</v>
      </c>
      <c r="I98" s="322" t="s">
        <v>241</v>
      </c>
      <c r="J98" s="323" t="s">
        <v>242</v>
      </c>
      <c r="K98" s="324" t="s">
        <v>8</v>
      </c>
      <c r="L98" s="324" t="s">
        <v>9</v>
      </c>
      <c r="M98" s="325" t="s">
        <v>253</v>
      </c>
      <c r="N98" s="326" t="s">
        <v>254</v>
      </c>
      <c r="O98" s="327" t="s">
        <v>241</v>
      </c>
      <c r="P98" s="323" t="s">
        <v>242</v>
      </c>
      <c r="Q98" s="324" t="s">
        <v>8</v>
      </c>
      <c r="R98" s="324" t="s">
        <v>9</v>
      </c>
      <c r="S98" s="325" t="s">
        <v>253</v>
      </c>
      <c r="T98" s="326" t="s">
        <v>254</v>
      </c>
      <c r="U98" s="327" t="s">
        <v>241</v>
      </c>
      <c r="V98" s="323" t="s">
        <v>242</v>
      </c>
      <c r="W98" s="324" t="s">
        <v>8</v>
      </c>
      <c r="X98" s="324" t="s">
        <v>9</v>
      </c>
      <c r="Y98" s="325" t="s">
        <v>243</v>
      </c>
      <c r="Z98" s="326" t="s">
        <v>244</v>
      </c>
    </row>
    <row r="99" spans="1:26" ht="14.4" customHeight="1" x14ac:dyDescent="0.3">
      <c r="A99" s="501" t="s">
        <v>291</v>
      </c>
      <c r="B99" s="337" t="s">
        <v>42</v>
      </c>
      <c r="C99" s="318">
        <v>0.5</v>
      </c>
      <c r="D99" s="319"/>
      <c r="E99" s="319">
        <f>'Carichi unitari'!$C$10*C99</f>
        <v>2.1509740259740262</v>
      </c>
      <c r="F99" s="319">
        <f>C99*'Carichi unitari'!$D$10</f>
        <v>1</v>
      </c>
      <c r="G99" s="319">
        <f>E99*$C$37+F99*$D$37</f>
        <v>4.2962662337662341</v>
      </c>
      <c r="H99" s="321">
        <f>E99+F99*$F$36</f>
        <v>2.450974025974026</v>
      </c>
      <c r="I99" s="318"/>
      <c r="J99" s="319"/>
      <c r="K99" s="319"/>
      <c r="L99" s="319"/>
      <c r="M99" s="319"/>
      <c r="N99" s="321"/>
      <c r="O99" s="318"/>
      <c r="P99" s="319"/>
      <c r="Q99" s="319"/>
      <c r="R99" s="319"/>
      <c r="S99" s="319"/>
      <c r="T99" s="321"/>
      <c r="U99" s="318"/>
      <c r="V99" s="319"/>
      <c r="W99" s="319"/>
      <c r="X99" s="319"/>
      <c r="Y99" s="319"/>
      <c r="Z99" s="321"/>
    </row>
    <row r="100" spans="1:26" x14ac:dyDescent="0.3">
      <c r="A100" s="501"/>
      <c r="B100" s="338" t="s">
        <v>247</v>
      </c>
      <c r="C100" s="299"/>
      <c r="D100" s="9"/>
      <c r="E100" s="9">
        <f>'Carichi unitari'!$C$17</f>
        <v>4.9890259740259744</v>
      </c>
      <c r="F100" s="9"/>
      <c r="G100" s="9">
        <f>E100*$C$37</f>
        <v>6.4857337662337669</v>
      </c>
      <c r="H100" s="282">
        <f>E100</f>
        <v>4.9890259740259744</v>
      </c>
      <c r="I100" s="299"/>
      <c r="J100" s="9"/>
      <c r="K100" s="9">
        <f>'Carichi unitari'!$C$17</f>
        <v>4.9890259740259744</v>
      </c>
      <c r="L100" s="9"/>
      <c r="M100" s="9">
        <f>K100*$C$37</f>
        <v>6.4857337662337669</v>
      </c>
      <c r="N100" s="282">
        <f>K100</f>
        <v>4.9890259740259744</v>
      </c>
      <c r="O100" s="299"/>
      <c r="P100" s="9"/>
      <c r="Q100" s="9">
        <f>'Carichi unitari'!$C$18</f>
        <v>4.2390259740259735</v>
      </c>
      <c r="R100" s="9"/>
      <c r="S100" s="9">
        <f>Q100*$C$37</f>
        <v>5.5107337662337654</v>
      </c>
      <c r="T100" s="282">
        <f>Q100</f>
        <v>4.2390259740259735</v>
      </c>
      <c r="U100" s="299"/>
      <c r="V100" s="9"/>
      <c r="W100" s="9">
        <f>'Carichi unitari'!$C$19</f>
        <v>3.4890259740259744</v>
      </c>
      <c r="X100" s="9"/>
      <c r="Y100" s="9">
        <f>W100*$C$37</f>
        <v>4.5357337662337667</v>
      </c>
      <c r="Z100" s="281">
        <f>W100</f>
        <v>3.4890259740259744</v>
      </c>
    </row>
    <row r="101" spans="1:26" x14ac:dyDescent="0.3">
      <c r="A101" s="501"/>
      <c r="B101" s="338" t="s">
        <v>45</v>
      </c>
      <c r="C101" s="299"/>
      <c r="D101" s="9"/>
      <c r="E101" s="9"/>
      <c r="F101" s="9"/>
      <c r="G101" s="9"/>
      <c r="H101" s="282"/>
      <c r="I101" s="299">
        <f>1.5*2</f>
        <v>3</v>
      </c>
      <c r="J101" s="9">
        <v>1.1000000000000001</v>
      </c>
      <c r="K101" s="9">
        <f>I101*J101*'Carichi unitari'!$C$14</f>
        <v>12.970909090909092</v>
      </c>
      <c r="L101" s="9">
        <f>I101*J101*'Carichi unitari'!$D$14</f>
        <v>13.200000000000001</v>
      </c>
      <c r="M101" s="9">
        <f>K101*$C$37+L101*$D$37</f>
        <v>36.662181818181821</v>
      </c>
      <c r="N101" s="282">
        <f>K101+L101*$G$36</f>
        <v>20.890909090909091</v>
      </c>
      <c r="O101" s="299">
        <f>1.5*2</f>
        <v>3</v>
      </c>
      <c r="P101" s="9">
        <v>1.1000000000000001</v>
      </c>
      <c r="Q101" s="9">
        <f>O101*P101*'Carichi unitari'!$C$14</f>
        <v>12.970909090909092</v>
      </c>
      <c r="R101" s="9">
        <f>O101*P101*'Carichi unitari'!$D$14</f>
        <v>13.200000000000001</v>
      </c>
      <c r="S101" s="9">
        <f>Q101*$C$37+R101*$D$37</f>
        <v>36.662181818181821</v>
      </c>
      <c r="T101" s="282">
        <f>Q101+R101*$G$36</f>
        <v>20.890909090909091</v>
      </c>
      <c r="U101" s="299">
        <f>0.5*2</f>
        <v>1</v>
      </c>
      <c r="V101" s="9">
        <v>1.1000000000000001</v>
      </c>
      <c r="W101" s="329">
        <f>'Carichi unitari'!$C$15*U101*V101</f>
        <v>3.8500000000000005</v>
      </c>
      <c r="X101" s="329">
        <f>'Carichi unitari'!$D$15</f>
        <v>0.5</v>
      </c>
      <c r="Y101" s="329">
        <f>W101*$C$37+X101*$D$37</f>
        <v>5.7550000000000008</v>
      </c>
      <c r="Z101" s="334">
        <f>W101</f>
        <v>3.8500000000000005</v>
      </c>
    </row>
    <row r="102" spans="1:26" x14ac:dyDescent="0.3">
      <c r="A102" s="501"/>
      <c r="B102" s="339" t="s">
        <v>44</v>
      </c>
      <c r="C102" s="299">
        <v>0.9</v>
      </c>
      <c r="D102" s="9"/>
      <c r="E102" s="9">
        <f>C102*'Carichi unitari'!$C$22</f>
        <v>5.3804123437500007</v>
      </c>
      <c r="F102" s="9"/>
      <c r="G102" s="9">
        <f>E102*$C$37</f>
        <v>6.9945360468750009</v>
      </c>
      <c r="H102" s="282">
        <f>E102</f>
        <v>5.3804123437500007</v>
      </c>
      <c r="I102" s="299">
        <v>0.8</v>
      </c>
      <c r="J102" s="9"/>
      <c r="K102" s="9">
        <f>I102*'Carichi unitari'!$C$22</f>
        <v>4.7825887500000013</v>
      </c>
      <c r="L102" s="9"/>
      <c r="M102" s="9">
        <f>K102*$C$37</f>
        <v>6.2173653750000017</v>
      </c>
      <c r="N102" s="282">
        <f>K102</f>
        <v>4.7825887500000013</v>
      </c>
      <c r="O102" s="299">
        <v>0.8</v>
      </c>
      <c r="P102" s="9"/>
      <c r="Q102" s="9">
        <f>O102*'Carichi unitari'!$C$22</f>
        <v>4.7825887500000013</v>
      </c>
      <c r="R102" s="9"/>
      <c r="S102" s="9">
        <f>Q102*$C$37</f>
        <v>6.2173653750000017</v>
      </c>
      <c r="T102" s="282">
        <f>Q102</f>
        <v>4.7825887500000013</v>
      </c>
      <c r="U102" s="299"/>
      <c r="V102" s="9"/>
      <c r="W102" s="9"/>
      <c r="X102" s="9"/>
      <c r="Y102" s="9"/>
      <c r="Z102" s="281"/>
    </row>
    <row r="103" spans="1:26" ht="15" thickBot="1" x14ac:dyDescent="0.35">
      <c r="A103" s="501"/>
      <c r="B103" s="340" t="s">
        <v>322</v>
      </c>
      <c r="C103" s="300"/>
      <c r="D103" s="301"/>
      <c r="E103" s="301"/>
      <c r="F103" s="301"/>
      <c r="G103" s="350">
        <f>SUM(G99:G102)</f>
        <v>17.776536046875002</v>
      </c>
      <c r="H103" s="351">
        <f>SUM(H99:H102)</f>
        <v>12.82041234375</v>
      </c>
      <c r="I103" s="300"/>
      <c r="J103" s="301"/>
      <c r="K103" s="301"/>
      <c r="L103" s="301"/>
      <c r="M103" s="350">
        <f>SUM(M99:M102)</f>
        <v>49.365280959415585</v>
      </c>
      <c r="N103" s="351">
        <f>SUM(N99:N102)</f>
        <v>30.662523814935067</v>
      </c>
      <c r="O103" s="300"/>
      <c r="P103" s="301"/>
      <c r="Q103" s="301"/>
      <c r="R103" s="301"/>
      <c r="S103" s="350">
        <f>SUM(S99:S102)</f>
        <v>48.390280959415584</v>
      </c>
      <c r="T103" s="351">
        <f>SUM(T99:T102)</f>
        <v>29.912523814935067</v>
      </c>
      <c r="U103" s="300"/>
      <c r="V103" s="301"/>
      <c r="W103" s="301"/>
      <c r="X103" s="301"/>
      <c r="Y103" s="350">
        <f>SUM(Y99:Y102)</f>
        <v>10.290733766233767</v>
      </c>
      <c r="Z103" s="352">
        <f>SUM(Z99:Z102)</f>
        <v>7.3390259740259749</v>
      </c>
    </row>
    <row r="106" spans="1:26" ht="15" thickBot="1" x14ac:dyDescent="0.35"/>
    <row r="107" spans="1:26" ht="16.2" thickBot="1" x14ac:dyDescent="0.35">
      <c r="C107" s="543" t="s">
        <v>281</v>
      </c>
      <c r="D107" s="544"/>
      <c r="E107" s="544"/>
      <c r="F107" s="544"/>
      <c r="G107" s="544"/>
      <c r="H107" s="545"/>
      <c r="I107" s="538" t="s">
        <v>282</v>
      </c>
      <c r="J107" s="539"/>
      <c r="K107" s="539"/>
      <c r="L107" s="539"/>
      <c r="M107" s="539"/>
      <c r="N107" s="540"/>
      <c r="O107" s="538" t="s">
        <v>283</v>
      </c>
      <c r="P107" s="539"/>
      <c r="Q107" s="539"/>
      <c r="R107" s="539"/>
      <c r="S107" s="539"/>
      <c r="T107" s="540"/>
      <c r="U107" s="538" t="s">
        <v>284</v>
      </c>
      <c r="V107" s="539"/>
      <c r="W107" s="539"/>
      <c r="X107" s="539"/>
      <c r="Y107" s="539"/>
      <c r="Z107" s="540"/>
    </row>
    <row r="108" spans="1:26" ht="46.2" thickBot="1" x14ac:dyDescent="0.35">
      <c r="C108" s="313" t="s">
        <v>241</v>
      </c>
      <c r="D108" s="314" t="s">
        <v>242</v>
      </c>
      <c r="E108" s="315" t="s">
        <v>8</v>
      </c>
      <c r="F108" s="315" t="s">
        <v>9</v>
      </c>
      <c r="G108" s="316" t="s">
        <v>253</v>
      </c>
      <c r="H108" s="317" t="s">
        <v>254</v>
      </c>
      <c r="I108" s="322" t="s">
        <v>241</v>
      </c>
      <c r="J108" s="323" t="s">
        <v>242</v>
      </c>
      <c r="K108" s="324" t="s">
        <v>8</v>
      </c>
      <c r="L108" s="324" t="s">
        <v>9</v>
      </c>
      <c r="M108" s="325" t="s">
        <v>253</v>
      </c>
      <c r="N108" s="326" t="s">
        <v>254</v>
      </c>
      <c r="O108" s="327" t="s">
        <v>241</v>
      </c>
      <c r="P108" s="323" t="s">
        <v>242</v>
      </c>
      <c r="Q108" s="324" t="s">
        <v>8</v>
      </c>
      <c r="R108" s="324" t="s">
        <v>9</v>
      </c>
      <c r="S108" s="325" t="s">
        <v>253</v>
      </c>
      <c r="T108" s="326" t="s">
        <v>254</v>
      </c>
      <c r="U108" s="327" t="s">
        <v>241</v>
      </c>
      <c r="V108" s="323" t="s">
        <v>242</v>
      </c>
      <c r="W108" s="324" t="s">
        <v>8</v>
      </c>
      <c r="X108" s="324" t="s">
        <v>9</v>
      </c>
      <c r="Y108" s="325" t="s">
        <v>243</v>
      </c>
      <c r="Z108" s="326" t="s">
        <v>244</v>
      </c>
    </row>
    <row r="109" spans="1:26" x14ac:dyDescent="0.3">
      <c r="A109" s="541" t="s">
        <v>285</v>
      </c>
      <c r="B109" s="337" t="s">
        <v>42</v>
      </c>
      <c r="C109" s="318">
        <v>2.5</v>
      </c>
      <c r="D109" s="319">
        <v>1</v>
      </c>
      <c r="E109" s="319">
        <f>'Carichi unitari'!$C$10*C109*D109</f>
        <v>10.754870129870131</v>
      </c>
      <c r="F109" s="319">
        <f>C109*'Carichi unitari'!$D$10</f>
        <v>5</v>
      </c>
      <c r="G109" s="319">
        <f>E109*$C$37+F109*$D$37</f>
        <v>21.481331168831169</v>
      </c>
      <c r="H109" s="321">
        <f>E109+F109*$F$36</f>
        <v>12.254870129870131</v>
      </c>
      <c r="I109" s="318">
        <v>2.5</v>
      </c>
      <c r="J109" s="319">
        <v>1</v>
      </c>
      <c r="K109" s="319">
        <f>'Carichi unitari'!$C$10*I109*J109</f>
        <v>10.754870129870131</v>
      </c>
      <c r="L109" s="319">
        <f>I109*'Carichi unitari'!$D$10</f>
        <v>5</v>
      </c>
      <c r="M109" s="319">
        <f>K109*$C$37+L109*$D$37</f>
        <v>21.481331168831169</v>
      </c>
      <c r="N109" s="321">
        <f>K109+L109*$F$36</f>
        <v>12.254870129870131</v>
      </c>
      <c r="O109" s="318">
        <v>2.5</v>
      </c>
      <c r="P109" s="319">
        <v>1</v>
      </c>
      <c r="Q109" s="319">
        <f>'Carichi unitari'!$C$10*O109*P109</f>
        <v>10.754870129870131</v>
      </c>
      <c r="R109" s="319">
        <f>O109*'Carichi unitari'!$D$10</f>
        <v>5</v>
      </c>
      <c r="S109" s="319">
        <f>Q109*$C$37+R109*$D$37</f>
        <v>21.481331168831169</v>
      </c>
      <c r="T109" s="321">
        <f>Q109+R109*$F$36</f>
        <v>12.254870129870131</v>
      </c>
      <c r="U109" s="318">
        <v>2.5</v>
      </c>
      <c r="V109" s="319">
        <v>1.05</v>
      </c>
      <c r="W109" s="319">
        <f>'Carichi unitari'!$C$12*U109*V109</f>
        <v>13.025113636363638</v>
      </c>
      <c r="X109" s="319">
        <f>U109*'Carichi unitari'!$D$10</f>
        <v>5</v>
      </c>
      <c r="Y109" s="319">
        <f>W109*$C$37+X109*$D$37</f>
        <v>24.43264772727273</v>
      </c>
      <c r="Z109" s="321">
        <f>W109+X109*$F$36</f>
        <v>14.525113636363638</v>
      </c>
    </row>
    <row r="110" spans="1:26" x14ac:dyDescent="0.3">
      <c r="A110" s="542"/>
      <c r="B110" s="338" t="s">
        <v>247</v>
      </c>
      <c r="C110" s="299"/>
      <c r="D110" s="9"/>
      <c r="E110" s="9">
        <f>'Carichi unitari'!$C$17</f>
        <v>4.9890259740259744</v>
      </c>
      <c r="F110" s="9"/>
      <c r="G110" s="9">
        <f>E110*$C$37</f>
        <v>6.4857337662337669</v>
      </c>
      <c r="H110" s="282">
        <f>E110</f>
        <v>4.9890259740259744</v>
      </c>
      <c r="I110" s="299"/>
      <c r="J110" s="9"/>
      <c r="K110" s="9">
        <f>'Carichi unitari'!$C$17</f>
        <v>4.9890259740259744</v>
      </c>
      <c r="L110" s="9"/>
      <c r="M110" s="9">
        <f>K110*$C$37</f>
        <v>6.4857337662337669</v>
      </c>
      <c r="N110" s="282">
        <f>K110</f>
        <v>4.9890259740259744</v>
      </c>
      <c r="O110" s="299"/>
      <c r="P110" s="9"/>
      <c r="Q110" s="9">
        <f>'Carichi unitari'!$C$18</f>
        <v>4.2390259740259735</v>
      </c>
      <c r="R110" s="9"/>
      <c r="S110" s="9">
        <f>Q110*$C$37</f>
        <v>5.5107337662337654</v>
      </c>
      <c r="T110" s="282">
        <f>Q110</f>
        <v>4.2390259740259735</v>
      </c>
      <c r="U110" s="299"/>
      <c r="V110" s="9"/>
      <c r="W110" s="9">
        <f>'Carichi unitari'!$C$19</f>
        <v>3.4890259740259744</v>
      </c>
      <c r="X110" s="9"/>
      <c r="Y110" s="9">
        <f>W110*$C$37</f>
        <v>4.5357337662337667</v>
      </c>
      <c r="Z110" s="281">
        <f>W110</f>
        <v>3.4890259740259744</v>
      </c>
    </row>
    <row r="111" spans="1:26" x14ac:dyDescent="0.3">
      <c r="A111" s="331"/>
      <c r="B111" s="338" t="s">
        <v>45</v>
      </c>
      <c r="C111" s="299"/>
      <c r="D111" s="9"/>
      <c r="E111" s="9"/>
      <c r="F111" s="9"/>
      <c r="G111" s="9"/>
      <c r="H111" s="282"/>
      <c r="I111" s="299"/>
      <c r="J111" s="9"/>
      <c r="K111" s="9"/>
      <c r="L111" s="9"/>
      <c r="M111" s="9"/>
      <c r="N111" s="282"/>
      <c r="O111" s="299"/>
      <c r="P111" s="9"/>
      <c r="Q111" s="9"/>
      <c r="R111" s="9"/>
      <c r="S111" s="9"/>
      <c r="T111" s="282"/>
      <c r="U111" s="299">
        <f>0.5</f>
        <v>0.5</v>
      </c>
      <c r="V111" s="9">
        <v>1.1000000000000001</v>
      </c>
      <c r="W111" s="329">
        <f>'Carichi unitari'!$C$15*U111*V111</f>
        <v>1.9250000000000003</v>
      </c>
      <c r="X111" s="329">
        <f>'Carichi unitari'!$D$15</f>
        <v>0.5</v>
      </c>
      <c r="Y111" s="329">
        <f>W111*$C$37+X111*$D$37</f>
        <v>3.2525000000000004</v>
      </c>
      <c r="Z111" s="334">
        <f>W111</f>
        <v>1.9250000000000003</v>
      </c>
    </row>
    <row r="112" spans="1:26" x14ac:dyDescent="0.3">
      <c r="B112" s="339" t="s">
        <v>44</v>
      </c>
      <c r="C112" s="299">
        <v>0.9</v>
      </c>
      <c r="D112" s="9"/>
      <c r="E112" s="9">
        <f>C112*'Carichi unitari'!$C$22</f>
        <v>5.3804123437500007</v>
      </c>
      <c r="F112" s="9"/>
      <c r="G112" s="9">
        <f>E112*$C$37</f>
        <v>6.9945360468750009</v>
      </c>
      <c r="H112" s="282">
        <f>E112</f>
        <v>5.3804123437500007</v>
      </c>
      <c r="I112" s="299">
        <v>0.9</v>
      </c>
      <c r="J112" s="9"/>
      <c r="K112" s="9">
        <f>I112*'Carichi unitari'!$C$22</f>
        <v>5.3804123437500007</v>
      </c>
      <c r="L112" s="9"/>
      <c r="M112" s="9">
        <f>K112*$C$37</f>
        <v>6.9945360468750009</v>
      </c>
      <c r="N112" s="282">
        <f>K112</f>
        <v>5.3804123437500007</v>
      </c>
      <c r="O112" s="299">
        <v>0.9</v>
      </c>
      <c r="P112" s="9"/>
      <c r="Q112" s="9">
        <f>O112*'Carichi unitari'!$C$22</f>
        <v>5.3804123437500007</v>
      </c>
      <c r="R112" s="9"/>
      <c r="S112" s="9">
        <f>Q112*$C$37</f>
        <v>6.9945360468750009</v>
      </c>
      <c r="T112" s="282">
        <f>Q112</f>
        <v>5.3804123437500007</v>
      </c>
      <c r="U112" s="299"/>
      <c r="V112" s="9"/>
      <c r="W112" s="9"/>
      <c r="X112" s="9"/>
      <c r="Y112" s="9"/>
      <c r="Z112" s="281"/>
    </row>
    <row r="113" spans="1:30" ht="15" thickBot="1" x14ac:dyDescent="0.35">
      <c r="B113" s="340" t="s">
        <v>261</v>
      </c>
      <c r="C113" s="300"/>
      <c r="D113" s="301"/>
      <c r="E113" s="301"/>
      <c r="F113" s="301"/>
      <c r="G113" s="350">
        <f>SUM(G109:G112)</f>
        <v>34.961600981939938</v>
      </c>
      <c r="H113" s="351">
        <f>SUM(H109:H112)</f>
        <v>22.624308447646108</v>
      </c>
      <c r="I113" s="300"/>
      <c r="J113" s="301"/>
      <c r="K113" s="301"/>
      <c r="L113" s="301"/>
      <c r="M113" s="350">
        <f>SUM(M109:M112)</f>
        <v>34.961600981939938</v>
      </c>
      <c r="N113" s="351">
        <f>SUM(N109:N112)</f>
        <v>22.624308447646108</v>
      </c>
      <c r="O113" s="300"/>
      <c r="P113" s="301"/>
      <c r="Q113" s="301"/>
      <c r="R113" s="301"/>
      <c r="S113" s="350">
        <f>SUM(S109:S112)</f>
        <v>33.986600981939937</v>
      </c>
      <c r="T113" s="351">
        <f>SUM(T109:T112)</f>
        <v>21.874308447646108</v>
      </c>
      <c r="U113" s="300"/>
      <c r="V113" s="301"/>
      <c r="W113" s="301"/>
      <c r="X113" s="301"/>
      <c r="Y113" s="350">
        <f>SUM(Y109:Y112)</f>
        <v>32.220881493506496</v>
      </c>
      <c r="Z113" s="352">
        <f>SUM(Z109:Z112)</f>
        <v>19.939139610389613</v>
      </c>
    </row>
    <row r="114" spans="1:30" x14ac:dyDescent="0.3">
      <c r="A114" s="533" t="s">
        <v>286</v>
      </c>
      <c r="B114" s="337" t="s">
        <v>42</v>
      </c>
      <c r="C114" s="318">
        <v>2.5</v>
      </c>
      <c r="D114" s="319">
        <v>1.1000000000000001</v>
      </c>
      <c r="E114" s="319">
        <f>'Carichi unitari'!$C$10*C114*D114</f>
        <v>11.830357142857146</v>
      </c>
      <c r="F114" s="319">
        <f>C114*'Carichi unitari'!$D$10*D114</f>
        <v>5.5</v>
      </c>
      <c r="G114" s="319">
        <f>E114*$C$37+F114*$D$37</f>
        <v>23.629464285714292</v>
      </c>
      <c r="H114" s="321">
        <f>E114+F114*$F$36</f>
        <v>13.480357142857146</v>
      </c>
      <c r="I114" s="318">
        <v>2.5</v>
      </c>
      <c r="J114" s="319">
        <v>1.1000000000000001</v>
      </c>
      <c r="K114" s="319">
        <f>'Carichi unitari'!$C$10*I114*J114</f>
        <v>11.830357142857146</v>
      </c>
      <c r="L114" s="319">
        <f>I114*'Carichi unitari'!$D$10*J114</f>
        <v>5.5</v>
      </c>
      <c r="M114" s="319">
        <f>K114*$C$37+L114*$D$37</f>
        <v>23.629464285714292</v>
      </c>
      <c r="N114" s="321">
        <f>K114+L114*$F$36</f>
        <v>13.480357142857146</v>
      </c>
      <c r="O114" s="318">
        <v>2.5</v>
      </c>
      <c r="P114" s="319">
        <v>1.1000000000000001</v>
      </c>
      <c r="Q114" s="319">
        <f>'Carichi unitari'!$C$10*O114*P114</f>
        <v>11.830357142857146</v>
      </c>
      <c r="R114" s="319">
        <f>O114*'Carichi unitari'!$D$10*P114</f>
        <v>5.5</v>
      </c>
      <c r="S114" s="319">
        <f>Q114*$C$37+R114*$D$37</f>
        <v>23.629464285714292</v>
      </c>
      <c r="T114" s="321">
        <f>Q114+R114*$F$36</f>
        <v>13.480357142857146</v>
      </c>
      <c r="U114" s="318">
        <v>2.5</v>
      </c>
      <c r="V114" s="319">
        <v>1.1000000000000001</v>
      </c>
      <c r="W114" s="319">
        <f>'Carichi unitari'!$C$10*U114*V114</f>
        <v>11.830357142857146</v>
      </c>
      <c r="X114" s="319">
        <f>U114*'Carichi unitari'!$D$10*V114</f>
        <v>5.5</v>
      </c>
      <c r="Y114" s="319">
        <f>W114*$C$37+X114*$D$37</f>
        <v>23.629464285714292</v>
      </c>
      <c r="Z114" s="321">
        <f>W114+X114*$F$36</f>
        <v>13.480357142857146</v>
      </c>
    </row>
    <row r="115" spans="1:30" x14ac:dyDescent="0.3">
      <c r="A115" s="534"/>
      <c r="B115" s="338" t="s">
        <v>247</v>
      </c>
      <c r="C115" s="299"/>
      <c r="D115" s="9"/>
      <c r="E115" s="9">
        <f>'Carichi unitari'!$C$17</f>
        <v>4.9890259740259744</v>
      </c>
      <c r="F115" s="9"/>
      <c r="G115" s="9">
        <f>E115*$C$37</f>
        <v>6.4857337662337669</v>
      </c>
      <c r="H115" s="282">
        <f>E115</f>
        <v>4.9890259740259744</v>
      </c>
      <c r="I115" s="299"/>
      <c r="J115" s="9"/>
      <c r="K115" s="9">
        <f>'Carichi unitari'!$C$17</f>
        <v>4.9890259740259744</v>
      </c>
      <c r="L115" s="9"/>
      <c r="M115" s="9">
        <f>K115*$C$37</f>
        <v>6.4857337662337669</v>
      </c>
      <c r="N115" s="282">
        <f>K115</f>
        <v>4.9890259740259744</v>
      </c>
      <c r="O115" s="299"/>
      <c r="P115" s="9"/>
      <c r="Q115" s="9">
        <f>'Carichi unitari'!$C$18</f>
        <v>4.2390259740259735</v>
      </c>
      <c r="R115" s="9"/>
      <c r="S115" s="9">
        <f>Q115*$C$37</f>
        <v>5.5107337662337654</v>
      </c>
      <c r="T115" s="282">
        <f>Q115</f>
        <v>4.2390259740259735</v>
      </c>
      <c r="U115" s="299"/>
      <c r="V115" s="9"/>
      <c r="W115" s="9">
        <f>'Carichi unitari'!$C$19</f>
        <v>3.4890259740259744</v>
      </c>
      <c r="X115" s="9"/>
      <c r="Y115" s="9">
        <f>W115*$C$37</f>
        <v>4.5357337662337667</v>
      </c>
      <c r="Z115" s="281">
        <f>W115</f>
        <v>3.4890259740259744</v>
      </c>
    </row>
    <row r="116" spans="1:30" x14ac:dyDescent="0.3">
      <c r="B116" s="338" t="s">
        <v>45</v>
      </c>
      <c r="C116" s="299"/>
      <c r="D116" s="9"/>
      <c r="E116" s="9"/>
      <c r="F116" s="9"/>
      <c r="G116" s="9"/>
      <c r="H116" s="282"/>
      <c r="I116" s="299">
        <v>1.5</v>
      </c>
      <c r="J116" s="9">
        <v>1.2</v>
      </c>
      <c r="K116" s="9">
        <f>'Carichi unitari'!$C$14*I116*J116</f>
        <v>7.0750413223140498</v>
      </c>
      <c r="L116" s="9">
        <f>'Carichi unitari'!$D$14*I116*J116</f>
        <v>7.1999999999999993</v>
      </c>
      <c r="M116" s="9">
        <f>K116*$C$37+L116*$D$37</f>
        <v>19.997553719008266</v>
      </c>
      <c r="N116" s="282">
        <f>K116+L116*$G$36</f>
        <v>11.39504132231405</v>
      </c>
      <c r="O116" s="299">
        <v>1.5</v>
      </c>
      <c r="P116" s="9">
        <v>1.2</v>
      </c>
      <c r="Q116" s="9">
        <f>'Carichi unitari'!$C$14*O116*P116</f>
        <v>7.0750413223140498</v>
      </c>
      <c r="R116" s="9">
        <f>'Carichi unitari'!$D$14*O116*P116</f>
        <v>7.1999999999999993</v>
      </c>
      <c r="S116" s="9">
        <f>Q116*$C$37+R116*$D$37</f>
        <v>19.997553719008266</v>
      </c>
      <c r="T116" s="282">
        <f>Q116+R116*$G$36</f>
        <v>11.39504132231405</v>
      </c>
      <c r="U116" s="299">
        <f>0.5</f>
        <v>0.5</v>
      </c>
      <c r="V116" s="9">
        <v>1.05</v>
      </c>
      <c r="W116" s="329">
        <f>'Carichi unitari'!$C$15*U116*V116</f>
        <v>1.8375000000000001</v>
      </c>
      <c r="X116" s="329">
        <f>'Carichi unitari'!$D$15</f>
        <v>0.5</v>
      </c>
      <c r="Y116" s="329">
        <f>W116*$C$37+X116*$D$37</f>
        <v>3.1387500000000004</v>
      </c>
      <c r="Z116" s="334">
        <f>W116</f>
        <v>1.8375000000000001</v>
      </c>
    </row>
    <row r="117" spans="1:30" x14ac:dyDescent="0.3">
      <c r="B117" s="339" t="s">
        <v>44</v>
      </c>
      <c r="C117" s="299">
        <v>0.9</v>
      </c>
      <c r="D117" s="9"/>
      <c r="E117" s="9">
        <f>C117*'Carichi unitari'!$C$22</f>
        <v>5.3804123437500007</v>
      </c>
      <c r="F117" s="9"/>
      <c r="G117" s="9">
        <f>E117*$C$37</f>
        <v>6.9945360468750009</v>
      </c>
      <c r="H117" s="282">
        <f>E117</f>
        <v>5.3804123437500007</v>
      </c>
      <c r="I117" s="299">
        <v>0.8</v>
      </c>
      <c r="J117" s="9"/>
      <c r="K117" s="9">
        <f>I117*'Carichi unitari'!$C$22</f>
        <v>4.7825887500000013</v>
      </c>
      <c r="L117" s="9"/>
      <c r="M117" s="9">
        <f>K117*$C$37</f>
        <v>6.2173653750000017</v>
      </c>
      <c r="N117" s="282">
        <f>K117</f>
        <v>4.7825887500000013</v>
      </c>
      <c r="O117" s="299">
        <v>0.8</v>
      </c>
      <c r="P117" s="9"/>
      <c r="Q117" s="9">
        <f>O117*'Carichi unitari'!$C$22</f>
        <v>4.7825887500000013</v>
      </c>
      <c r="R117" s="9"/>
      <c r="S117" s="9">
        <f>Q117*$C$37</f>
        <v>6.2173653750000017</v>
      </c>
      <c r="T117" s="282">
        <f>Q117</f>
        <v>4.7825887500000013</v>
      </c>
      <c r="U117" s="299"/>
      <c r="V117" s="9"/>
      <c r="W117" s="9"/>
      <c r="X117" s="9"/>
      <c r="Y117" s="9"/>
      <c r="Z117" s="281"/>
    </row>
    <row r="118" spans="1:30" ht="15" thickBot="1" x14ac:dyDescent="0.35">
      <c r="B118" s="340" t="s">
        <v>261</v>
      </c>
      <c r="C118" s="300"/>
      <c r="D118" s="301"/>
      <c r="E118" s="301"/>
      <c r="F118" s="301"/>
      <c r="G118" s="350">
        <f>SUM(G114:G117)</f>
        <v>37.109734098823061</v>
      </c>
      <c r="H118" s="351">
        <f>SUM(H114:H117)</f>
        <v>23.849795460633125</v>
      </c>
      <c r="I118" s="300"/>
      <c r="J118" s="301"/>
      <c r="K118" s="301"/>
      <c r="L118" s="301"/>
      <c r="M118" s="350">
        <f>SUM(M114:M117)</f>
        <v>56.330117145956322</v>
      </c>
      <c r="N118" s="351">
        <f>SUM(N114:N117)</f>
        <v>34.647013189197175</v>
      </c>
      <c r="O118" s="300"/>
      <c r="P118" s="301"/>
      <c r="Q118" s="301"/>
      <c r="R118" s="301"/>
      <c r="S118" s="350">
        <f>SUM(S114:S117)</f>
        <v>55.355117145956328</v>
      </c>
      <c r="T118" s="351">
        <f>SUM(T114:T117)</f>
        <v>33.897013189197168</v>
      </c>
      <c r="U118" s="300"/>
      <c r="V118" s="301"/>
      <c r="W118" s="301"/>
      <c r="X118" s="301"/>
      <c r="Y118" s="350">
        <f>SUM(Y114:Y117)</f>
        <v>31.303948051948062</v>
      </c>
      <c r="Z118" s="352">
        <f>SUM(Z114:Z117)</f>
        <v>18.806883116883121</v>
      </c>
    </row>
    <row r="119" spans="1:30" ht="16.2" thickBot="1" x14ac:dyDescent="0.35">
      <c r="C119" s="543" t="s">
        <v>287</v>
      </c>
      <c r="D119" s="544"/>
      <c r="E119" s="544"/>
      <c r="F119" s="544"/>
      <c r="G119" s="544"/>
      <c r="H119" s="545"/>
      <c r="I119" s="538" t="s">
        <v>288</v>
      </c>
      <c r="J119" s="539"/>
      <c r="K119" s="539"/>
      <c r="L119" s="539"/>
      <c r="M119" s="539"/>
      <c r="N119" s="540"/>
      <c r="O119" s="538" t="s">
        <v>289</v>
      </c>
      <c r="P119" s="539"/>
      <c r="Q119" s="539"/>
      <c r="R119" s="539"/>
      <c r="S119" s="539"/>
      <c r="T119" s="540"/>
      <c r="U119" s="538" t="s">
        <v>290</v>
      </c>
      <c r="V119" s="539"/>
      <c r="W119" s="539"/>
      <c r="X119" s="539"/>
      <c r="Y119" s="539"/>
      <c r="Z119" s="540"/>
    </row>
    <row r="120" spans="1:30" ht="46.2" thickBot="1" x14ac:dyDescent="0.35">
      <c r="C120" s="313" t="s">
        <v>241</v>
      </c>
      <c r="D120" s="314" t="s">
        <v>242</v>
      </c>
      <c r="E120" s="315" t="s">
        <v>8</v>
      </c>
      <c r="F120" s="315" t="s">
        <v>9</v>
      </c>
      <c r="G120" s="316" t="s">
        <v>253</v>
      </c>
      <c r="H120" s="317" t="s">
        <v>254</v>
      </c>
      <c r="I120" s="322" t="s">
        <v>241</v>
      </c>
      <c r="J120" s="323" t="s">
        <v>242</v>
      </c>
      <c r="K120" s="324" t="s">
        <v>8</v>
      </c>
      <c r="L120" s="324" t="s">
        <v>9</v>
      </c>
      <c r="M120" s="325" t="s">
        <v>253</v>
      </c>
      <c r="N120" s="326" t="s">
        <v>254</v>
      </c>
      <c r="O120" s="327" t="s">
        <v>241</v>
      </c>
      <c r="P120" s="323" t="s">
        <v>242</v>
      </c>
      <c r="Q120" s="324" t="s">
        <v>8</v>
      </c>
      <c r="R120" s="324" t="s">
        <v>9</v>
      </c>
      <c r="S120" s="325" t="s">
        <v>253</v>
      </c>
      <c r="T120" s="326" t="s">
        <v>254</v>
      </c>
      <c r="U120" s="327" t="s">
        <v>241</v>
      </c>
      <c r="V120" s="323" t="s">
        <v>242</v>
      </c>
      <c r="W120" s="324" t="s">
        <v>8</v>
      </c>
      <c r="X120" s="324" t="s">
        <v>9</v>
      </c>
      <c r="Y120" s="325" t="s">
        <v>243</v>
      </c>
      <c r="Z120" s="326" t="s">
        <v>244</v>
      </c>
    </row>
    <row r="121" spans="1:30" ht="15" customHeight="1" x14ac:dyDescent="0.3">
      <c r="A121" s="550" t="s">
        <v>345</v>
      </c>
      <c r="B121" s="337" t="s">
        <v>292</v>
      </c>
      <c r="C121" s="318">
        <v>2</v>
      </c>
      <c r="D121" s="358">
        <v>1.2</v>
      </c>
      <c r="E121" s="319">
        <f>'Carichi unitari'!$C$10*C121*D121</f>
        <v>10.324675324675326</v>
      </c>
      <c r="F121" s="319">
        <f>C121*'Carichi unitari'!$D$10*D121</f>
        <v>4.8</v>
      </c>
      <c r="G121" s="319">
        <f>E121*$C$37+F121*$D$37</f>
        <v>20.622077922077921</v>
      </c>
      <c r="H121" s="320">
        <f>E121+F121*$F$36</f>
        <v>11.764675324675325</v>
      </c>
      <c r="I121" s="318">
        <v>2</v>
      </c>
      <c r="J121" s="358">
        <v>1.2</v>
      </c>
      <c r="K121" s="319">
        <f>'Carichi unitari'!$C$10*I121*J121</f>
        <v>10.324675324675326</v>
      </c>
      <c r="L121" s="319">
        <f>I121*'Carichi unitari'!$D$10*J121</f>
        <v>4.8</v>
      </c>
      <c r="M121" s="319">
        <f>K121*$C$37+L121*$D$37</f>
        <v>20.622077922077921</v>
      </c>
      <c r="N121" s="320">
        <f>K121+L121*$F$36</f>
        <v>11.764675324675325</v>
      </c>
      <c r="O121" s="318">
        <v>2</v>
      </c>
      <c r="P121" s="358">
        <v>1.2</v>
      </c>
      <c r="Q121" s="319">
        <f>'Carichi unitari'!$C$10*O121*P121</f>
        <v>10.324675324675326</v>
      </c>
      <c r="R121" s="319">
        <f>O121*'Carichi unitari'!$D$10*P121</f>
        <v>4.8</v>
      </c>
      <c r="S121" s="319">
        <f>Q121*$C$37+R121*$D$37</f>
        <v>20.622077922077921</v>
      </c>
      <c r="T121" s="320">
        <f>Q121+R121*$F$36</f>
        <v>11.764675324675325</v>
      </c>
      <c r="U121" s="318">
        <v>2</v>
      </c>
      <c r="V121" s="357">
        <v>1.1499999999999999</v>
      </c>
      <c r="W121" s="319">
        <f>'Carichi unitari'!$C$12*U121*V121</f>
        <v>11.412480519480519</v>
      </c>
      <c r="X121" s="319">
        <f>U121*'Carichi unitari'!$D$10*V121</f>
        <v>4.5999999999999996</v>
      </c>
      <c r="Y121" s="319">
        <f>W121*$C$37+X121*$D$37</f>
        <v>21.736224675324674</v>
      </c>
      <c r="Z121" s="320">
        <f>W121+X121*$F$36</f>
        <v>12.79248051948052</v>
      </c>
    </row>
    <row r="122" spans="1:30" x14ac:dyDescent="0.3">
      <c r="A122" s="551"/>
      <c r="B122" s="338" t="s">
        <v>293</v>
      </c>
      <c r="C122" s="299">
        <v>2.5</v>
      </c>
      <c r="D122" s="358">
        <v>1.2</v>
      </c>
      <c r="E122" s="9">
        <f>'Carichi unitari'!$C$10*C122*D122</f>
        <v>12.905844155844157</v>
      </c>
      <c r="F122" s="9">
        <f>C122*'Carichi unitari'!$D$10*D122</f>
        <v>6</v>
      </c>
      <c r="G122" s="9">
        <f>E122*$C$37+F122*$D$37</f>
        <v>25.777597402597404</v>
      </c>
      <c r="H122" s="281">
        <f>E122+F122*$F$36</f>
        <v>14.705844155844158</v>
      </c>
      <c r="I122" s="299">
        <v>2.5</v>
      </c>
      <c r="J122" s="358">
        <v>1.2</v>
      </c>
      <c r="K122" s="9">
        <f>'Carichi unitari'!$C$10*I122*J122</f>
        <v>12.905844155844157</v>
      </c>
      <c r="L122" s="9">
        <f>I122*'Carichi unitari'!$D$10*J122</f>
        <v>6</v>
      </c>
      <c r="M122" s="9">
        <f>K122*$C$37+L122*$D$37</f>
        <v>25.777597402597404</v>
      </c>
      <c r="N122" s="281">
        <f>K122+L122*$F$36</f>
        <v>14.705844155844158</v>
      </c>
      <c r="O122" s="299">
        <v>2.5</v>
      </c>
      <c r="P122" s="358">
        <v>1.2</v>
      </c>
      <c r="Q122" s="9">
        <f>'Carichi unitari'!$C$10*O122*P122</f>
        <v>12.905844155844157</v>
      </c>
      <c r="R122" s="9">
        <f>O122*'Carichi unitari'!$D$10*P122</f>
        <v>6</v>
      </c>
      <c r="S122" s="9">
        <f>Q122*$C$37+R122*$D$37</f>
        <v>25.777597402597404</v>
      </c>
      <c r="T122" s="281">
        <f>Q122+R122*$F$36</f>
        <v>14.705844155844158</v>
      </c>
      <c r="U122" s="299">
        <v>2.5</v>
      </c>
      <c r="V122" s="358">
        <v>1.1499999999999999</v>
      </c>
      <c r="W122" s="9">
        <f>'Carichi unitari'!$C$12*U122*V122</f>
        <v>14.265600649350651</v>
      </c>
      <c r="X122" s="9">
        <f>U122*'Carichi unitari'!$D$10*V122</f>
        <v>5.75</v>
      </c>
      <c r="Y122" s="9">
        <f>W122*$C$37+X122*$D$37</f>
        <v>27.170280844155847</v>
      </c>
      <c r="Z122" s="281">
        <f>W122+X122*$F$36</f>
        <v>15.99060064935065</v>
      </c>
    </row>
    <row r="123" spans="1:30" x14ac:dyDescent="0.3">
      <c r="A123" s="552"/>
      <c r="B123" s="338" t="s">
        <v>247</v>
      </c>
      <c r="C123" s="299"/>
      <c r="D123" s="9"/>
      <c r="E123" s="9">
        <f>'Carichi unitari'!$C$17</f>
        <v>4.9890259740259744</v>
      </c>
      <c r="F123" s="9"/>
      <c r="G123" s="9">
        <f>E123*$C$37</f>
        <v>6.4857337662337669</v>
      </c>
      <c r="H123" s="281">
        <f>E123</f>
        <v>4.9890259740259744</v>
      </c>
      <c r="I123" s="299"/>
      <c r="J123" s="9"/>
      <c r="K123" s="9">
        <f>'Carichi unitari'!$C$17</f>
        <v>4.9890259740259744</v>
      </c>
      <c r="L123" s="9"/>
      <c r="M123" s="9">
        <f>K123*$C$37</f>
        <v>6.4857337662337669</v>
      </c>
      <c r="N123" s="281">
        <f>K123</f>
        <v>4.9890259740259744</v>
      </c>
      <c r="O123" s="299"/>
      <c r="P123" s="9"/>
      <c r="Q123" s="9">
        <f>'Carichi unitari'!$C$18</f>
        <v>4.2390259740259735</v>
      </c>
      <c r="R123" s="9"/>
      <c r="S123" s="9">
        <f>Q123*$C$37</f>
        <v>5.5107337662337654</v>
      </c>
      <c r="T123" s="281">
        <f>Q123</f>
        <v>4.2390259740259735</v>
      </c>
      <c r="U123" s="299"/>
      <c r="V123" s="9"/>
      <c r="W123" s="9">
        <f>'Carichi unitari'!$C$19</f>
        <v>3.4890259740259744</v>
      </c>
      <c r="X123" s="9"/>
      <c r="Y123" s="9">
        <f>W123*$C$37</f>
        <v>4.5357337662337667</v>
      </c>
      <c r="Z123" s="281">
        <f>W123</f>
        <v>3.4890259740259744</v>
      </c>
    </row>
    <row r="124" spans="1:30" ht="15.6" customHeight="1" x14ac:dyDescent="0.3">
      <c r="A124" s="341"/>
      <c r="B124" s="339" t="s">
        <v>356</v>
      </c>
      <c r="C124" s="309">
        <f>C122+C121</f>
        <v>4.5</v>
      </c>
      <c r="D124" s="310"/>
      <c r="E124" s="310">
        <f>'Carichi unitari'!$C$11*C124</f>
        <v>5.3999999999999995</v>
      </c>
      <c r="F124" s="310"/>
      <c r="G124" s="310">
        <f>E124*$D$37</f>
        <v>8.1</v>
      </c>
      <c r="H124" s="311">
        <f>E124</f>
        <v>5.3999999999999995</v>
      </c>
      <c r="I124" s="309">
        <f>I122+I121</f>
        <v>4.5</v>
      </c>
      <c r="J124" s="310"/>
      <c r="K124" s="310">
        <f>'Carichi unitari'!$C$11*I124</f>
        <v>5.3999999999999995</v>
      </c>
      <c r="L124" s="310"/>
      <c r="M124" s="310">
        <f>K124*$D$37</f>
        <v>8.1</v>
      </c>
      <c r="N124" s="311">
        <f>K124</f>
        <v>5.3999999999999995</v>
      </c>
      <c r="O124" s="309">
        <f>O122+O121</f>
        <v>4.5</v>
      </c>
      <c r="P124" s="310"/>
      <c r="Q124" s="310">
        <f>'Carichi unitari'!$C$11*O124</f>
        <v>5.3999999999999995</v>
      </c>
      <c r="R124" s="310"/>
      <c r="S124" s="310">
        <f>Q124*$D$37</f>
        <v>8.1</v>
      </c>
      <c r="T124" s="311">
        <f>Q124</f>
        <v>5.3999999999999995</v>
      </c>
      <c r="U124" s="309"/>
      <c r="V124" s="310"/>
      <c r="W124" s="310"/>
      <c r="X124" s="310"/>
      <c r="Y124" s="310"/>
      <c r="Z124" s="311"/>
    </row>
    <row r="125" spans="1:30" ht="15" customHeight="1" thickBot="1" x14ac:dyDescent="0.35">
      <c r="B125" s="340" t="s">
        <v>261</v>
      </c>
      <c r="C125" s="300"/>
      <c r="D125" s="301"/>
      <c r="E125" s="301"/>
      <c r="F125" s="301"/>
      <c r="G125" s="350">
        <f>SUM(G121:G124)</f>
        <v>60.985409090909094</v>
      </c>
      <c r="H125" s="350">
        <f>SUM(H121:H124)</f>
        <v>36.859545454545461</v>
      </c>
      <c r="I125" s="300"/>
      <c r="J125" s="301"/>
      <c r="K125" s="301"/>
      <c r="L125" s="301"/>
      <c r="M125" s="350">
        <f>SUM(M121:M124)</f>
        <v>60.985409090909094</v>
      </c>
      <c r="N125" s="350">
        <f>SUM(N121:N124)</f>
        <v>36.859545454545461</v>
      </c>
      <c r="O125" s="300"/>
      <c r="P125" s="301"/>
      <c r="Q125" s="301"/>
      <c r="R125" s="301"/>
      <c r="S125" s="350">
        <f>SUM(S121:S124)</f>
        <v>60.010409090909093</v>
      </c>
      <c r="T125" s="350">
        <f>SUM(T121:T124)</f>
        <v>36.109545454545461</v>
      </c>
      <c r="U125" s="300"/>
      <c r="V125" s="301"/>
      <c r="W125" s="301"/>
      <c r="X125" s="301"/>
      <c r="Y125" s="350">
        <f>SUM(Y121:Y124)</f>
        <v>53.442239285714287</v>
      </c>
      <c r="Z125" s="352">
        <f>SUM(Z121:Z124)</f>
        <v>32.272107142857145</v>
      </c>
    </row>
    <row r="126" spans="1:30" ht="14.4" customHeight="1" x14ac:dyDescent="0.3">
      <c r="A126" s="550" t="s">
        <v>346</v>
      </c>
      <c r="B126" s="337" t="s">
        <v>292</v>
      </c>
      <c r="C126" s="318">
        <v>2</v>
      </c>
      <c r="D126" s="358">
        <v>1</v>
      </c>
      <c r="E126" s="319">
        <f>'Carichi unitari'!$C$10*C126*D126</f>
        <v>8.6038961038961048</v>
      </c>
      <c r="F126" s="319">
        <f>C126*'Carichi unitari'!$D$10</f>
        <v>4</v>
      </c>
      <c r="G126" s="319">
        <f>E126*$C$37+F126*$D$37</f>
        <v>17.185064935064936</v>
      </c>
      <c r="H126" s="320">
        <f>E126+F126*$F$36</f>
        <v>9.8038961038961041</v>
      </c>
      <c r="I126" s="318">
        <v>2</v>
      </c>
      <c r="J126" s="358">
        <v>1</v>
      </c>
      <c r="K126" s="319">
        <f>'Carichi unitari'!$C$10*I126*J126</f>
        <v>8.6038961038961048</v>
      </c>
      <c r="L126" s="319">
        <f>I126*'Carichi unitari'!$D$10</f>
        <v>4</v>
      </c>
      <c r="M126" s="319">
        <f>K126*$C$37+L126*$D$37</f>
        <v>17.185064935064936</v>
      </c>
      <c r="N126" s="320">
        <f>K126+L126*$F$36</f>
        <v>9.8038961038961041</v>
      </c>
      <c r="O126" s="318">
        <v>2</v>
      </c>
      <c r="P126" s="358">
        <v>1</v>
      </c>
      <c r="Q126" s="319">
        <f>'Carichi unitari'!$C$10*O126*P126</f>
        <v>8.6038961038961048</v>
      </c>
      <c r="R126" s="319">
        <f>O126*'Carichi unitari'!$D$10</f>
        <v>4</v>
      </c>
      <c r="S126" s="319">
        <f>Q126*$C$37+R126*$D$37</f>
        <v>17.185064935064936</v>
      </c>
      <c r="T126" s="320">
        <f>Q126+R126*$F$36</f>
        <v>9.8038961038961041</v>
      </c>
      <c r="U126" s="318">
        <v>2</v>
      </c>
      <c r="V126" s="358">
        <v>1</v>
      </c>
      <c r="W126" s="319">
        <f>'Carichi unitari'!$C$12*U126*V126</f>
        <v>9.9238961038961051</v>
      </c>
      <c r="X126" s="319">
        <f>U126*'Carichi unitari'!$D$10</f>
        <v>4</v>
      </c>
      <c r="Y126" s="319">
        <f>W126*$C$37+X126*$D$37</f>
        <v>18.901064935064937</v>
      </c>
      <c r="Z126" s="320">
        <f>W126+X126*$F$36</f>
        <v>11.123896103896104</v>
      </c>
    </row>
    <row r="127" spans="1:30" ht="14.4" customHeight="1" x14ac:dyDescent="0.3">
      <c r="A127" s="551"/>
      <c r="B127" s="338" t="s">
        <v>293</v>
      </c>
      <c r="C127" s="299">
        <v>2.5</v>
      </c>
      <c r="D127" s="358">
        <v>1.2</v>
      </c>
      <c r="E127" s="9">
        <f>'Carichi unitari'!$C$10*C127*D127</f>
        <v>12.905844155844157</v>
      </c>
      <c r="F127" s="9">
        <f>C127*'Carichi unitari'!$D$10*D127</f>
        <v>6</v>
      </c>
      <c r="G127" s="9">
        <f>E127*$C$37+F127*$D$37</f>
        <v>25.777597402597404</v>
      </c>
      <c r="H127" s="281">
        <f>E127+F127*$F$36</f>
        <v>14.705844155844158</v>
      </c>
      <c r="I127" s="299">
        <v>2.5</v>
      </c>
      <c r="J127" s="358">
        <v>1.2</v>
      </c>
      <c r="K127" s="9">
        <f>'Carichi unitari'!$C$10*I127*J127</f>
        <v>12.905844155844157</v>
      </c>
      <c r="L127" s="9">
        <f>I127*'Carichi unitari'!$D$10*J127</f>
        <v>6</v>
      </c>
      <c r="M127" s="9">
        <f>K127*$C$37+L127*$D$37</f>
        <v>25.777597402597404</v>
      </c>
      <c r="N127" s="281">
        <f>K127+L127*$F$36</f>
        <v>14.705844155844158</v>
      </c>
      <c r="O127" s="299">
        <v>2.5</v>
      </c>
      <c r="P127" s="358">
        <v>1.2</v>
      </c>
      <c r="Q127" s="9">
        <f>'Carichi unitari'!$C$10*O127*P127</f>
        <v>12.905844155844157</v>
      </c>
      <c r="R127" s="9">
        <f>O127*'Carichi unitari'!$D$10*P127</f>
        <v>6</v>
      </c>
      <c r="S127" s="9">
        <f>Q127*$C$37+R127*$D$37</f>
        <v>25.777597402597404</v>
      </c>
      <c r="T127" s="281">
        <f>Q127+R127*$F$36</f>
        <v>14.705844155844158</v>
      </c>
      <c r="U127" s="299">
        <v>2.5</v>
      </c>
      <c r="V127" s="358">
        <v>1.1499999999999999</v>
      </c>
      <c r="W127" s="9">
        <f>'Carichi unitari'!$C$12*U127*V127</f>
        <v>14.265600649350651</v>
      </c>
      <c r="X127" s="9">
        <f>U127*'Carichi unitari'!$D$10*V127</f>
        <v>5.75</v>
      </c>
      <c r="Y127" s="9">
        <f>W127*$C$37+X127*$D$37</f>
        <v>27.170280844155847</v>
      </c>
      <c r="Z127" s="281">
        <f>W127+X127*$F$36</f>
        <v>15.99060064935065</v>
      </c>
      <c r="AD127" s="335"/>
    </row>
    <row r="128" spans="1:30" ht="14.4" customHeight="1" x14ac:dyDescent="0.3">
      <c r="A128" s="552"/>
      <c r="B128" s="338" t="s">
        <v>247</v>
      </c>
      <c r="C128" s="299"/>
      <c r="D128" s="9"/>
      <c r="E128" s="9">
        <f>'Carichi unitari'!$C$17</f>
        <v>4.9890259740259744</v>
      </c>
      <c r="F128" s="9"/>
      <c r="G128" s="9">
        <f>E128*$C$37</f>
        <v>6.4857337662337669</v>
      </c>
      <c r="H128" s="281">
        <f>E128</f>
        <v>4.9890259740259744</v>
      </c>
      <c r="I128" s="299"/>
      <c r="J128" s="9"/>
      <c r="K128" s="9">
        <f>'Carichi unitari'!$C$17</f>
        <v>4.9890259740259744</v>
      </c>
      <c r="L128" s="9"/>
      <c r="M128" s="9">
        <f>K128*$C$37</f>
        <v>6.4857337662337669</v>
      </c>
      <c r="N128" s="281">
        <f>K128</f>
        <v>4.9890259740259744</v>
      </c>
      <c r="O128" s="299"/>
      <c r="P128" s="9"/>
      <c r="Q128" s="9">
        <f>'Carichi unitari'!$C$18</f>
        <v>4.2390259740259735</v>
      </c>
      <c r="R128" s="9"/>
      <c r="S128" s="9">
        <f>Q128*$C$37</f>
        <v>5.5107337662337654</v>
      </c>
      <c r="T128" s="281">
        <f>Q128</f>
        <v>4.2390259740259735</v>
      </c>
      <c r="U128" s="299"/>
      <c r="V128" s="9"/>
      <c r="W128" s="9">
        <f>'Carichi unitari'!$C$19</f>
        <v>3.4890259740259744</v>
      </c>
      <c r="X128" s="9"/>
      <c r="Y128" s="9">
        <f>W128*$C$37</f>
        <v>4.5357337662337667</v>
      </c>
      <c r="Z128" s="281">
        <f>W128</f>
        <v>3.4890259740259744</v>
      </c>
      <c r="AD128" s="448"/>
    </row>
    <row r="129" spans="1:26" ht="15.6" x14ac:dyDescent="0.3">
      <c r="A129" s="344"/>
      <c r="B129" s="339" t="s">
        <v>356</v>
      </c>
      <c r="C129" s="309">
        <f>C127+C126</f>
        <v>4.5</v>
      </c>
      <c r="D129" s="310"/>
      <c r="E129" s="310">
        <f>'Carichi unitari'!$C$11*C129</f>
        <v>5.3999999999999995</v>
      </c>
      <c r="F129" s="310"/>
      <c r="G129" s="310">
        <f>E129*$D$37</f>
        <v>8.1</v>
      </c>
      <c r="H129" s="311">
        <f>E129</f>
        <v>5.3999999999999995</v>
      </c>
      <c r="I129" s="309">
        <f>I127+I126</f>
        <v>4.5</v>
      </c>
      <c r="J129" s="310"/>
      <c r="K129" s="310">
        <f>'Carichi unitari'!$C$11*I129</f>
        <v>5.3999999999999995</v>
      </c>
      <c r="L129" s="310"/>
      <c r="M129" s="310">
        <f>K129*$D$37</f>
        <v>8.1</v>
      </c>
      <c r="N129" s="311">
        <f>K129</f>
        <v>5.3999999999999995</v>
      </c>
      <c r="O129" s="309">
        <f>O127+O126</f>
        <v>4.5</v>
      </c>
      <c r="P129" s="310"/>
      <c r="Q129" s="310">
        <f>'Carichi unitari'!$C$11*O129</f>
        <v>5.3999999999999995</v>
      </c>
      <c r="R129" s="310"/>
      <c r="S129" s="310">
        <f>Q129*$D$37</f>
        <v>8.1</v>
      </c>
      <c r="T129" s="311">
        <f>Q129</f>
        <v>5.3999999999999995</v>
      </c>
      <c r="U129" s="309"/>
      <c r="V129" s="310"/>
      <c r="W129" s="310"/>
      <c r="X129" s="310"/>
      <c r="Y129" s="310"/>
      <c r="Z129" s="311"/>
    </row>
    <row r="130" spans="1:26" ht="15" thickBot="1" x14ac:dyDescent="0.35">
      <c r="B130" s="340" t="s">
        <v>261</v>
      </c>
      <c r="C130" s="300"/>
      <c r="D130" s="301"/>
      <c r="E130" s="301"/>
      <c r="F130" s="301"/>
      <c r="G130" s="350">
        <f>SUM(G126:G129)</f>
        <v>57.548396103896103</v>
      </c>
      <c r="H130" s="350">
        <f>SUM(H126:H129)</f>
        <v>34.898766233766239</v>
      </c>
      <c r="I130" s="300"/>
      <c r="J130" s="301"/>
      <c r="K130" s="301"/>
      <c r="L130" s="301"/>
      <c r="M130" s="350">
        <f>SUM(M126:M129)</f>
        <v>57.548396103896103</v>
      </c>
      <c r="N130" s="350">
        <f>SUM(N126:N129)</f>
        <v>34.898766233766239</v>
      </c>
      <c r="O130" s="300"/>
      <c r="P130" s="301"/>
      <c r="Q130" s="301"/>
      <c r="R130" s="301"/>
      <c r="S130" s="350">
        <f>SUM(S126:S129)</f>
        <v>56.573396103896101</v>
      </c>
      <c r="T130" s="350">
        <f>SUM(T126:T129)</f>
        <v>34.148766233766239</v>
      </c>
      <c r="U130" s="300"/>
      <c r="V130" s="301"/>
      <c r="W130" s="301"/>
      <c r="X130" s="301"/>
      <c r="Y130" s="350">
        <f>SUM(Y126:Y129)</f>
        <v>50.607079545454553</v>
      </c>
      <c r="Z130" s="352">
        <f>SUM(Z126:Z129)</f>
        <v>30.603522727272729</v>
      </c>
    </row>
    <row r="131" spans="1:26" x14ac:dyDescent="0.3">
      <c r="A131" s="550" t="s">
        <v>301</v>
      </c>
      <c r="B131" s="337" t="s">
        <v>292</v>
      </c>
      <c r="C131" s="318">
        <v>2</v>
      </c>
      <c r="D131" s="357">
        <v>1.1000000000000001</v>
      </c>
      <c r="E131" s="319">
        <f>'Carichi unitari'!$C$10*C131*D131</f>
        <v>9.4642857142857153</v>
      </c>
      <c r="F131" s="319">
        <f>C131*'Carichi unitari'!$D$10*D131</f>
        <v>4.4000000000000004</v>
      </c>
      <c r="G131" s="319">
        <f>E131*$C$37+F131*$D$37</f>
        <v>18.903571428571432</v>
      </c>
      <c r="H131" s="320">
        <f>E131+F131*$F$36</f>
        <v>10.784285714285716</v>
      </c>
      <c r="I131" s="318">
        <v>2</v>
      </c>
      <c r="J131" s="357">
        <v>1.1000000000000001</v>
      </c>
      <c r="K131" s="319">
        <f>'Carichi unitari'!$C$10*I131*J131</f>
        <v>9.4642857142857153</v>
      </c>
      <c r="L131" s="319">
        <f>I131*'Carichi unitari'!$D$10*J131</f>
        <v>4.4000000000000004</v>
      </c>
      <c r="M131" s="319">
        <f>K131*$C$37+L131*$D$37</f>
        <v>18.903571428571432</v>
      </c>
      <c r="N131" s="320">
        <f>K131+L131*$F$36</f>
        <v>10.784285714285716</v>
      </c>
      <c r="O131" s="318">
        <v>2</v>
      </c>
      <c r="P131" s="357">
        <v>1.1000000000000001</v>
      </c>
      <c r="Q131" s="319">
        <f>'Carichi unitari'!$C$10*O131*P131</f>
        <v>9.4642857142857153</v>
      </c>
      <c r="R131" s="319">
        <f>O131*'Carichi unitari'!$D$10*P131</f>
        <v>4.4000000000000004</v>
      </c>
      <c r="S131" s="319">
        <f>Q131*$C$37+R131*$D$37</f>
        <v>18.903571428571432</v>
      </c>
      <c r="T131" s="320">
        <f>Q131+R131*$F$36</f>
        <v>10.784285714285716</v>
      </c>
      <c r="U131" s="318">
        <v>2</v>
      </c>
      <c r="V131" s="357">
        <v>1.1499999999999999</v>
      </c>
      <c r="W131" s="319">
        <f>'Carichi unitari'!$C$12*U131*V131</f>
        <v>11.412480519480519</v>
      </c>
      <c r="X131" s="319">
        <f>U131*'Carichi unitari'!$D$10*V131</f>
        <v>4.5999999999999996</v>
      </c>
      <c r="Y131" s="319">
        <f>W131*$C$37+X131*$D$37</f>
        <v>21.736224675324674</v>
      </c>
      <c r="Z131" s="320">
        <f>W131+X131*$F$36</f>
        <v>12.79248051948052</v>
      </c>
    </row>
    <row r="132" spans="1:26" x14ac:dyDescent="0.3">
      <c r="A132" s="551"/>
      <c r="B132" s="338" t="s">
        <v>293</v>
      </c>
      <c r="C132" s="299">
        <v>2.5</v>
      </c>
      <c r="D132" s="358">
        <v>1.1000000000000001</v>
      </c>
      <c r="E132" s="9">
        <f>'Carichi unitari'!$C$10*C132*D132</f>
        <v>11.830357142857146</v>
      </c>
      <c r="F132" s="9">
        <f>C132*'Carichi unitari'!$D$10*D132</f>
        <v>5.5</v>
      </c>
      <c r="G132" s="9">
        <f>E132*$C$37+F132*$D$37</f>
        <v>23.629464285714292</v>
      </c>
      <c r="H132" s="281">
        <f>E132+F132*$F$36</f>
        <v>13.480357142857146</v>
      </c>
      <c r="I132" s="299">
        <v>2.5</v>
      </c>
      <c r="J132" s="358">
        <v>1.1000000000000001</v>
      </c>
      <c r="K132" s="9">
        <f>'Carichi unitari'!$C$10*I132*J132</f>
        <v>11.830357142857146</v>
      </c>
      <c r="L132" s="9">
        <f>I132*'Carichi unitari'!$D$10*J132</f>
        <v>5.5</v>
      </c>
      <c r="M132" s="9">
        <f>K132*$C$37+L132*$D$37</f>
        <v>23.629464285714292</v>
      </c>
      <c r="N132" s="281">
        <f>K132+L132*$F$36</f>
        <v>13.480357142857146</v>
      </c>
      <c r="O132" s="299">
        <v>2.5</v>
      </c>
      <c r="P132" s="358">
        <v>1.1000000000000001</v>
      </c>
      <c r="Q132" s="9">
        <f>'Carichi unitari'!$C$10*O132*P132</f>
        <v>11.830357142857146</v>
      </c>
      <c r="R132" s="9">
        <f>O132*'Carichi unitari'!$D$10*P132</f>
        <v>5.5</v>
      </c>
      <c r="S132" s="9">
        <f>Q132*$C$37+R132*$D$37</f>
        <v>23.629464285714292</v>
      </c>
      <c r="T132" s="281">
        <f>Q132+R132*$F$36</f>
        <v>13.480357142857146</v>
      </c>
      <c r="U132" s="299">
        <v>2.5</v>
      </c>
      <c r="V132" s="358">
        <v>1.1499999999999999</v>
      </c>
      <c r="W132" s="9">
        <f>'Carichi unitari'!$C$12*U132*V132</f>
        <v>14.265600649350651</v>
      </c>
      <c r="X132" s="9">
        <f>U132*'Carichi unitari'!$D$10*V132</f>
        <v>5.75</v>
      </c>
      <c r="Y132" s="9">
        <f>W132*$C$37+X132*$D$37</f>
        <v>27.170280844155847</v>
      </c>
      <c r="Z132" s="281">
        <f>W132+X132*$F$36</f>
        <v>15.99060064935065</v>
      </c>
    </row>
    <row r="133" spans="1:26" x14ac:dyDescent="0.3">
      <c r="A133" s="552"/>
      <c r="B133" s="338" t="s">
        <v>247</v>
      </c>
      <c r="C133" s="299"/>
      <c r="D133" s="9"/>
      <c r="E133" s="9">
        <f>'Carichi unitari'!$C$17</f>
        <v>4.9890259740259744</v>
      </c>
      <c r="F133" s="9"/>
      <c r="G133" s="9">
        <f>E133*$C$37</f>
        <v>6.4857337662337669</v>
      </c>
      <c r="H133" s="281">
        <f>E133</f>
        <v>4.9890259740259744</v>
      </c>
      <c r="I133" s="299"/>
      <c r="J133" s="9"/>
      <c r="K133" s="9">
        <f>'Carichi unitari'!$C$17</f>
        <v>4.9890259740259744</v>
      </c>
      <c r="L133" s="9"/>
      <c r="M133" s="9">
        <f>K133*$C$37</f>
        <v>6.4857337662337669</v>
      </c>
      <c r="N133" s="281">
        <f>K133</f>
        <v>4.9890259740259744</v>
      </c>
      <c r="O133" s="299"/>
      <c r="P133" s="9"/>
      <c r="Q133" s="9">
        <f>'Carichi unitari'!$C$18</f>
        <v>4.2390259740259735</v>
      </c>
      <c r="R133" s="9"/>
      <c r="S133" s="9">
        <f>Q133*$C$37</f>
        <v>5.5107337662337654</v>
      </c>
      <c r="T133" s="281">
        <f>Q133</f>
        <v>4.2390259740259735</v>
      </c>
      <c r="U133" s="299"/>
      <c r="V133" s="9"/>
      <c r="W133" s="9">
        <f>'Carichi unitari'!$C$19</f>
        <v>3.4890259740259744</v>
      </c>
      <c r="X133" s="9"/>
      <c r="Y133" s="9">
        <f>W133*$C$37</f>
        <v>4.5357337662337667</v>
      </c>
      <c r="Z133" s="281">
        <f>W133</f>
        <v>3.4890259740259744</v>
      </c>
    </row>
    <row r="134" spans="1:26" ht="15.6" x14ac:dyDescent="0.3">
      <c r="A134" s="341"/>
      <c r="B134" s="339" t="s">
        <v>356</v>
      </c>
      <c r="C134" s="309">
        <f>C132+C131</f>
        <v>4.5</v>
      </c>
      <c r="D134" s="310"/>
      <c r="E134" s="310">
        <f>'Carichi unitari'!$C$11*C134</f>
        <v>5.3999999999999995</v>
      </c>
      <c r="F134" s="310"/>
      <c r="G134" s="310">
        <f>E134*$D$37</f>
        <v>8.1</v>
      </c>
      <c r="H134" s="311">
        <f>E134</f>
        <v>5.3999999999999995</v>
      </c>
      <c r="I134" s="309">
        <f>I132+I131</f>
        <v>4.5</v>
      </c>
      <c r="J134" s="310"/>
      <c r="K134" s="310">
        <f>'Carichi unitari'!$C$11*I134</f>
        <v>5.3999999999999995</v>
      </c>
      <c r="L134" s="310"/>
      <c r="M134" s="310">
        <f>K134*$D$37</f>
        <v>8.1</v>
      </c>
      <c r="N134" s="311">
        <f>K134</f>
        <v>5.3999999999999995</v>
      </c>
      <c r="O134" s="309">
        <f>O132+O131</f>
        <v>4.5</v>
      </c>
      <c r="P134" s="310"/>
      <c r="Q134" s="310">
        <f>'Carichi unitari'!$C$11*O134</f>
        <v>5.3999999999999995</v>
      </c>
      <c r="R134" s="310"/>
      <c r="S134" s="310">
        <f>Q134*$D$37</f>
        <v>8.1</v>
      </c>
      <c r="T134" s="311">
        <f>Q134</f>
        <v>5.3999999999999995</v>
      </c>
      <c r="U134" s="309"/>
      <c r="V134" s="310"/>
      <c r="W134" s="310"/>
      <c r="X134" s="310"/>
      <c r="Y134" s="310"/>
      <c r="Z134" s="311"/>
    </row>
    <row r="135" spans="1:26" ht="15" thickBot="1" x14ac:dyDescent="0.35">
      <c r="B135" s="340" t="s">
        <v>261</v>
      </c>
      <c r="C135" s="300"/>
      <c r="D135" s="301"/>
      <c r="E135" s="301"/>
      <c r="F135" s="301"/>
      <c r="G135" s="350">
        <f>SUM(G131:G133)</f>
        <v>49.018769480519488</v>
      </c>
      <c r="H135" s="350">
        <f>SUM(H131:H133)</f>
        <v>29.253668831168834</v>
      </c>
      <c r="I135" s="300"/>
      <c r="J135" s="301"/>
      <c r="K135" s="301"/>
      <c r="L135" s="301"/>
      <c r="M135" s="350">
        <f>SUM(M131:M133)</f>
        <v>49.018769480519488</v>
      </c>
      <c r="N135" s="350">
        <f>SUM(N131:N133)</f>
        <v>29.253668831168834</v>
      </c>
      <c r="O135" s="300"/>
      <c r="P135" s="301"/>
      <c r="Q135" s="301"/>
      <c r="R135" s="301"/>
      <c r="S135" s="350">
        <f>SUM(S131:S133)</f>
        <v>48.043769480519487</v>
      </c>
      <c r="T135" s="350">
        <f>SUM(T131:T133)</f>
        <v>28.503668831168834</v>
      </c>
      <c r="U135" s="300"/>
      <c r="V135" s="301"/>
      <c r="W135" s="301"/>
      <c r="X135" s="301"/>
      <c r="Y135" s="350">
        <f>SUM(Y131:Y133)</f>
        <v>53.442239285714287</v>
      </c>
      <c r="Z135" s="352">
        <f>SUM(Z131:Z133)</f>
        <v>32.272107142857145</v>
      </c>
    </row>
    <row r="136" spans="1:26" ht="16.2" customHeight="1" thickBot="1" x14ac:dyDescent="0.35">
      <c r="C136" s="543" t="s">
        <v>294</v>
      </c>
      <c r="D136" s="544"/>
      <c r="E136" s="544"/>
      <c r="F136" s="544"/>
      <c r="G136" s="544"/>
      <c r="H136" s="545"/>
      <c r="I136" s="538" t="s">
        <v>295</v>
      </c>
      <c r="J136" s="539"/>
      <c r="K136" s="539"/>
      <c r="L136" s="539"/>
      <c r="M136" s="539"/>
      <c r="N136" s="540"/>
      <c r="O136" s="538" t="s">
        <v>296</v>
      </c>
      <c r="P136" s="539"/>
      <c r="Q136" s="539"/>
      <c r="R136" s="539"/>
      <c r="S136" s="539"/>
      <c r="T136" s="540"/>
      <c r="U136" s="538" t="s">
        <v>297</v>
      </c>
      <c r="V136" s="539"/>
      <c r="W136" s="539"/>
      <c r="X136" s="539"/>
      <c r="Y136" s="539"/>
      <c r="Z136" s="540"/>
    </row>
    <row r="137" spans="1:26" ht="46.2" thickBot="1" x14ac:dyDescent="0.35">
      <c r="C137" s="313" t="s">
        <v>241</v>
      </c>
      <c r="D137" s="314" t="s">
        <v>242</v>
      </c>
      <c r="E137" s="315" t="s">
        <v>8</v>
      </c>
      <c r="F137" s="315" t="s">
        <v>9</v>
      </c>
      <c r="G137" s="316" t="s">
        <v>253</v>
      </c>
      <c r="H137" s="317" t="s">
        <v>254</v>
      </c>
      <c r="I137" s="322" t="s">
        <v>241</v>
      </c>
      <c r="J137" s="323" t="s">
        <v>242</v>
      </c>
      <c r="K137" s="324" t="s">
        <v>8</v>
      </c>
      <c r="L137" s="324" t="s">
        <v>9</v>
      </c>
      <c r="M137" s="325" t="s">
        <v>253</v>
      </c>
      <c r="N137" s="326" t="s">
        <v>254</v>
      </c>
      <c r="O137" s="327" t="s">
        <v>241</v>
      </c>
      <c r="P137" s="323" t="s">
        <v>242</v>
      </c>
      <c r="Q137" s="324" t="s">
        <v>8</v>
      </c>
      <c r="R137" s="324" t="s">
        <v>9</v>
      </c>
      <c r="S137" s="325" t="s">
        <v>253</v>
      </c>
      <c r="T137" s="326" t="s">
        <v>254</v>
      </c>
      <c r="U137" s="327" t="s">
        <v>241</v>
      </c>
      <c r="V137" s="323" t="s">
        <v>242</v>
      </c>
      <c r="W137" s="324" t="s">
        <v>8</v>
      </c>
      <c r="X137" s="324" t="s">
        <v>9</v>
      </c>
      <c r="Y137" s="325" t="s">
        <v>243</v>
      </c>
      <c r="Z137" s="326" t="s">
        <v>244</v>
      </c>
    </row>
    <row r="138" spans="1:26" ht="14.4" customHeight="1" x14ac:dyDescent="0.3">
      <c r="A138" s="541" t="s">
        <v>298</v>
      </c>
      <c r="B138" s="337" t="s">
        <v>293</v>
      </c>
      <c r="C138" s="299">
        <v>2</v>
      </c>
      <c r="D138" s="358">
        <v>1</v>
      </c>
      <c r="E138" s="9">
        <f>'Carichi unitari'!$C$10*C138*D138</f>
        <v>8.6038961038961048</v>
      </c>
      <c r="F138" s="9">
        <f>C138*'Carichi unitari'!$D$10</f>
        <v>4</v>
      </c>
      <c r="G138" s="9">
        <f>E138*$C$37+F138*$D$37</f>
        <v>17.185064935064936</v>
      </c>
      <c r="H138" s="281">
        <f>E138+F138*$F$36</f>
        <v>9.8038961038961041</v>
      </c>
      <c r="I138" s="299">
        <v>2</v>
      </c>
      <c r="J138" s="358">
        <v>1</v>
      </c>
      <c r="K138" s="9">
        <f>'Carichi unitari'!$C$10*I138*J138</f>
        <v>8.6038961038961048</v>
      </c>
      <c r="L138" s="9">
        <f>I138*'Carichi unitari'!$D$10</f>
        <v>4</v>
      </c>
      <c r="M138" s="9">
        <f>K138*$C$37+L138*$D$37</f>
        <v>17.185064935064936</v>
      </c>
      <c r="N138" s="281">
        <f>K138+L138*$F$36</f>
        <v>9.8038961038961041</v>
      </c>
      <c r="O138" s="299">
        <v>2</v>
      </c>
      <c r="P138" s="358">
        <v>1</v>
      </c>
      <c r="Q138" s="9">
        <f>'Carichi unitari'!$C$10*O138*P138</f>
        <v>8.6038961038961048</v>
      </c>
      <c r="R138" s="9">
        <f>O138*'Carichi unitari'!$D$10</f>
        <v>4</v>
      </c>
      <c r="S138" s="9">
        <f>Q138*$C$37+R138*$D$37</f>
        <v>17.185064935064936</v>
      </c>
      <c r="T138" s="281">
        <f>Q138+R138*$F$36</f>
        <v>9.8038961038961041</v>
      </c>
      <c r="U138" s="299">
        <v>2</v>
      </c>
      <c r="V138" s="358">
        <v>1.05</v>
      </c>
      <c r="W138" s="9">
        <f>'Carichi unitari'!$C$12*U138*V138</f>
        <v>10.420090909090911</v>
      </c>
      <c r="X138" s="9">
        <f>U138*'Carichi unitari'!$D$10</f>
        <v>4</v>
      </c>
      <c r="Y138" s="9">
        <f>W138*$C$37+X138*$D$37</f>
        <v>19.546118181818187</v>
      </c>
      <c r="Z138" s="281">
        <f>W138+X138*$F$36</f>
        <v>11.62009090909091</v>
      </c>
    </row>
    <row r="139" spans="1:26" x14ac:dyDescent="0.3">
      <c r="A139" s="541"/>
      <c r="B139" s="338" t="s">
        <v>247</v>
      </c>
      <c r="C139" s="299"/>
      <c r="D139" s="9"/>
      <c r="E139" s="9">
        <f>'Carichi unitari'!$C$17</f>
        <v>4.9890259740259744</v>
      </c>
      <c r="F139" s="9"/>
      <c r="G139" s="9">
        <f>E139*$C$37</f>
        <v>6.4857337662337669</v>
      </c>
      <c r="H139" s="281">
        <f>E139</f>
        <v>4.9890259740259744</v>
      </c>
      <c r="I139" s="299"/>
      <c r="J139" s="9"/>
      <c r="K139" s="9">
        <f>'Carichi unitari'!$C$17</f>
        <v>4.9890259740259744</v>
      </c>
      <c r="L139" s="9"/>
      <c r="M139" s="9">
        <f>K139*$C$37</f>
        <v>6.4857337662337669</v>
      </c>
      <c r="N139" s="281">
        <f>K139</f>
        <v>4.9890259740259744</v>
      </c>
      <c r="O139" s="299"/>
      <c r="P139" s="9"/>
      <c r="Q139" s="9">
        <f>'Carichi unitari'!$C$18</f>
        <v>4.2390259740259735</v>
      </c>
      <c r="R139" s="9"/>
      <c r="S139" s="9">
        <f>Q139*$C$37</f>
        <v>5.5107337662337654</v>
      </c>
      <c r="T139" s="281">
        <f>Q139</f>
        <v>4.2390259740259735</v>
      </c>
      <c r="U139" s="299"/>
      <c r="V139" s="9"/>
      <c r="W139" s="9">
        <f>'Carichi unitari'!$C$19</f>
        <v>3.4890259740259744</v>
      </c>
      <c r="X139" s="9"/>
      <c r="Y139" s="9">
        <f>W139*$C$37</f>
        <v>4.5357337662337667</v>
      </c>
      <c r="Z139" s="281">
        <f>W139</f>
        <v>3.4890259740259744</v>
      </c>
    </row>
    <row r="140" spans="1:26" ht="15.6" x14ac:dyDescent="0.3">
      <c r="A140" s="83"/>
      <c r="B140" s="339" t="s">
        <v>327</v>
      </c>
      <c r="C140" s="309"/>
      <c r="D140" s="310"/>
      <c r="E140" s="310"/>
      <c r="F140" s="310"/>
      <c r="G140" s="310"/>
      <c r="H140" s="311"/>
      <c r="I140" s="309"/>
      <c r="J140" s="310"/>
      <c r="K140" s="310"/>
      <c r="L140" s="310"/>
      <c r="M140" s="310"/>
      <c r="N140" s="311"/>
      <c r="O140" s="309"/>
      <c r="P140" s="310"/>
      <c r="Q140" s="310"/>
      <c r="R140" s="310"/>
      <c r="S140" s="310"/>
      <c r="T140" s="311"/>
      <c r="U140" s="299">
        <f>0.5</f>
        <v>0.5</v>
      </c>
      <c r="V140" s="9">
        <v>1.1000000000000001</v>
      </c>
      <c r="W140" s="329">
        <f>'Carichi unitari'!$C$15*U140*V140</f>
        <v>1.9250000000000003</v>
      </c>
      <c r="X140" s="329">
        <f>'Carichi unitari'!$D$15</f>
        <v>0.5</v>
      </c>
      <c r="Y140" s="329">
        <f>W140*$C$37+X140*$D$37</f>
        <v>3.2525000000000004</v>
      </c>
      <c r="Z140" s="334">
        <f>W140</f>
        <v>1.9250000000000003</v>
      </c>
    </row>
    <row r="141" spans="1:26" ht="15.6" x14ac:dyDescent="0.3">
      <c r="A141" s="83"/>
      <c r="B141" s="339" t="s">
        <v>44</v>
      </c>
      <c r="C141" s="299">
        <v>1</v>
      </c>
      <c r="D141" s="9"/>
      <c r="E141" s="9">
        <f>C141*'Carichi unitari'!$C$22</f>
        <v>5.9782359375000009</v>
      </c>
      <c r="F141" s="9"/>
      <c r="G141" s="9">
        <f>E141*$C$37</f>
        <v>7.7717067187500017</v>
      </c>
      <c r="H141" s="282">
        <f>E141</f>
        <v>5.9782359375000009</v>
      </c>
      <c r="I141" s="299">
        <v>1</v>
      </c>
      <c r="J141" s="9"/>
      <c r="K141" s="9">
        <f>I141*'Carichi unitari'!$C$22</f>
        <v>5.9782359375000009</v>
      </c>
      <c r="L141" s="9"/>
      <c r="M141" s="9">
        <f>K141*$C$37</f>
        <v>7.7717067187500017</v>
      </c>
      <c r="N141" s="282">
        <f>K141</f>
        <v>5.9782359375000009</v>
      </c>
      <c r="O141" s="299">
        <v>1</v>
      </c>
      <c r="P141" s="9"/>
      <c r="Q141" s="9">
        <f>O141*'Carichi unitari'!$C$22</f>
        <v>5.9782359375000009</v>
      </c>
      <c r="R141" s="9"/>
      <c r="S141" s="9">
        <f>Q141*$C$37</f>
        <v>7.7717067187500017</v>
      </c>
      <c r="T141" s="282">
        <f>Q141</f>
        <v>5.9782359375000009</v>
      </c>
      <c r="U141" s="333"/>
      <c r="V141" s="329"/>
      <c r="W141" s="329"/>
      <c r="X141" s="329"/>
      <c r="Y141" s="329"/>
      <c r="Z141" s="334"/>
    </row>
    <row r="142" spans="1:26" ht="15" thickBot="1" x14ac:dyDescent="0.35">
      <c r="B142" s="340" t="s">
        <v>261</v>
      </c>
      <c r="C142" s="300"/>
      <c r="D142" s="301"/>
      <c r="E142" s="301"/>
      <c r="F142" s="301"/>
      <c r="G142" s="350">
        <f>SUM(G137:G141)</f>
        <v>31.442505420048704</v>
      </c>
      <c r="H142" s="350">
        <f>SUM(H137:H141)</f>
        <v>20.771158015422081</v>
      </c>
      <c r="I142" s="300"/>
      <c r="J142" s="301"/>
      <c r="K142" s="301"/>
      <c r="L142" s="301"/>
      <c r="M142" s="350">
        <f>SUM(M137:M141)</f>
        <v>31.442505420048704</v>
      </c>
      <c r="N142" s="350">
        <f>SUM(N137:N141)</f>
        <v>20.771158015422081</v>
      </c>
      <c r="O142" s="300"/>
      <c r="P142" s="301"/>
      <c r="Q142" s="301"/>
      <c r="R142" s="301"/>
      <c r="S142" s="350">
        <f>SUM(S137:S141)</f>
        <v>30.467505420048703</v>
      </c>
      <c r="T142" s="350">
        <f>SUM(T137:T141)</f>
        <v>20.021158015422081</v>
      </c>
      <c r="U142" s="300"/>
      <c r="V142" s="301"/>
      <c r="W142" s="301"/>
      <c r="X142" s="301"/>
      <c r="Y142" s="350">
        <f>SUM(Y137:Y139)</f>
        <v>24.081851948051956</v>
      </c>
      <c r="Z142" s="352">
        <f>SUM(Z137:Z139)</f>
        <v>15.109116883116885</v>
      </c>
    </row>
    <row r="143" spans="1:26" x14ac:dyDescent="0.3">
      <c r="A143" s="550" t="s">
        <v>299</v>
      </c>
      <c r="B143" s="337" t="s">
        <v>292</v>
      </c>
      <c r="C143" s="318">
        <v>2.5</v>
      </c>
      <c r="D143" s="357">
        <v>1</v>
      </c>
      <c r="E143" s="319">
        <f>'Carichi unitari'!$C$10*C143*D143</f>
        <v>10.754870129870131</v>
      </c>
      <c r="F143" s="319">
        <f>C143*'Carichi unitari'!$D$10*D143</f>
        <v>5</v>
      </c>
      <c r="G143" s="319">
        <f>E143*$C$37+F143*$D$37</f>
        <v>21.481331168831169</v>
      </c>
      <c r="H143" s="320">
        <f>E143+F143*$F$36</f>
        <v>12.254870129870131</v>
      </c>
      <c r="I143" s="318">
        <v>2.5</v>
      </c>
      <c r="J143" s="357">
        <v>1</v>
      </c>
      <c r="K143" s="319">
        <f>'Carichi unitari'!$C$10*I143*J143</f>
        <v>10.754870129870131</v>
      </c>
      <c r="L143" s="319">
        <f>I143*'Carichi unitari'!$D$10</f>
        <v>5</v>
      </c>
      <c r="M143" s="319">
        <f>K143*$C$37+L143*$D$37</f>
        <v>21.481331168831169</v>
      </c>
      <c r="N143" s="320">
        <f>K143+L143*$F$36</f>
        <v>12.254870129870131</v>
      </c>
      <c r="O143" s="318">
        <v>2.5</v>
      </c>
      <c r="P143" s="357">
        <v>1</v>
      </c>
      <c r="Q143" s="319">
        <f>'Carichi unitari'!$C$10*O143*P143</f>
        <v>10.754870129870131</v>
      </c>
      <c r="R143" s="319">
        <f>O143*'Carichi unitari'!$D$10</f>
        <v>5</v>
      </c>
      <c r="S143" s="319">
        <f>Q143*$C$37+R143*$D$37</f>
        <v>21.481331168831169</v>
      </c>
      <c r="T143" s="320">
        <f>Q143+R143*$F$36</f>
        <v>12.254870129870131</v>
      </c>
      <c r="U143" s="318">
        <v>2.5</v>
      </c>
      <c r="V143" s="357">
        <v>1</v>
      </c>
      <c r="W143" s="319">
        <f>'Carichi unitari'!$C$12*U143*V143</f>
        <v>12.404870129870131</v>
      </c>
      <c r="X143" s="319">
        <f>U143*'Carichi unitari'!$D$10</f>
        <v>5</v>
      </c>
      <c r="Y143" s="319">
        <f>W143*$C$37+X143*$D$37</f>
        <v>23.626331168831172</v>
      </c>
      <c r="Z143" s="320">
        <f>W143+X143*$F$36</f>
        <v>13.904870129870131</v>
      </c>
    </row>
    <row r="144" spans="1:26" x14ac:dyDescent="0.3">
      <c r="A144" s="551"/>
      <c r="B144" s="338" t="s">
        <v>293</v>
      </c>
      <c r="C144" s="299">
        <v>2</v>
      </c>
      <c r="D144" s="358">
        <v>1</v>
      </c>
      <c r="E144" s="9">
        <f>'Carichi unitari'!$C$10*C144*D144</f>
        <v>8.6038961038961048</v>
      </c>
      <c r="F144" s="9">
        <f>C144*'Carichi unitari'!$D$10</f>
        <v>4</v>
      </c>
      <c r="G144" s="9">
        <f>E144*$C$37+F144*$D$37</f>
        <v>17.185064935064936</v>
      </c>
      <c r="H144" s="281">
        <f>E144+F144*$F$36</f>
        <v>9.8038961038961041</v>
      </c>
      <c r="I144" s="299">
        <v>2</v>
      </c>
      <c r="J144" s="358">
        <v>1</v>
      </c>
      <c r="K144" s="9">
        <f>'Carichi unitari'!$C$10*I144*J144</f>
        <v>8.6038961038961048</v>
      </c>
      <c r="L144" s="9">
        <f>I144*'Carichi unitari'!$D$10</f>
        <v>4</v>
      </c>
      <c r="M144" s="9">
        <f>K144*$C$37+L144*$D$37</f>
        <v>17.185064935064936</v>
      </c>
      <c r="N144" s="281">
        <f>K144+L144*$F$36</f>
        <v>9.8038961038961041</v>
      </c>
      <c r="O144" s="299">
        <v>2</v>
      </c>
      <c r="P144" s="358">
        <v>1</v>
      </c>
      <c r="Q144" s="9">
        <f>'Carichi unitari'!$C$10*O144*P144</f>
        <v>8.6038961038961048</v>
      </c>
      <c r="R144" s="9">
        <f>O144*'Carichi unitari'!$D$10</f>
        <v>4</v>
      </c>
      <c r="S144" s="9">
        <f>Q144*$C$37+R144*$D$37</f>
        <v>17.185064935064936</v>
      </c>
      <c r="T144" s="281">
        <f>Q144+R144*$F$36</f>
        <v>9.8038961038961041</v>
      </c>
      <c r="U144" s="299">
        <v>2</v>
      </c>
      <c r="V144" s="358">
        <v>1</v>
      </c>
      <c r="W144" s="9">
        <f>'Carichi unitari'!$C$12*U144*V144</f>
        <v>9.9238961038961051</v>
      </c>
      <c r="X144" s="9">
        <f>U144*'Carichi unitari'!$D$10</f>
        <v>4</v>
      </c>
      <c r="Y144" s="9">
        <f>W144*$C$37+X144*$D$37</f>
        <v>18.901064935064937</v>
      </c>
      <c r="Z144" s="281">
        <f>W144+X144*$F$36</f>
        <v>11.123896103896104</v>
      </c>
    </row>
    <row r="145" spans="1:26" x14ac:dyDescent="0.3">
      <c r="A145" s="552"/>
      <c r="B145" s="338" t="s">
        <v>247</v>
      </c>
      <c r="C145" s="299"/>
      <c r="D145" s="9"/>
      <c r="E145" s="9">
        <f>'Carichi unitari'!$C$17</f>
        <v>4.9890259740259744</v>
      </c>
      <c r="F145" s="9"/>
      <c r="G145" s="9">
        <f>E145*$C$37</f>
        <v>6.4857337662337669</v>
      </c>
      <c r="H145" s="281">
        <f>E145</f>
        <v>4.9890259740259744</v>
      </c>
      <c r="I145" s="299"/>
      <c r="J145" s="9"/>
      <c r="K145" s="9">
        <f>'Carichi unitari'!$C$17</f>
        <v>4.9890259740259744</v>
      </c>
      <c r="L145" s="9"/>
      <c r="M145" s="9">
        <f>K145*$C$37</f>
        <v>6.4857337662337669</v>
      </c>
      <c r="N145" s="281">
        <f>K145</f>
        <v>4.9890259740259744</v>
      </c>
      <c r="O145" s="299"/>
      <c r="P145" s="9"/>
      <c r="Q145" s="9">
        <f>'Carichi unitari'!$C$18</f>
        <v>4.2390259740259735</v>
      </c>
      <c r="R145" s="9"/>
      <c r="S145" s="9">
        <f>Q145*$C$37</f>
        <v>5.5107337662337654</v>
      </c>
      <c r="T145" s="281">
        <f>Q145</f>
        <v>4.2390259740259735</v>
      </c>
      <c r="U145" s="299"/>
      <c r="V145" s="9"/>
      <c r="W145" s="9">
        <f>'Carichi unitari'!$C$19</f>
        <v>3.4890259740259744</v>
      </c>
      <c r="X145" s="9"/>
      <c r="Y145" s="9">
        <f>W145*$C$37</f>
        <v>4.5357337662337667</v>
      </c>
      <c r="Z145" s="281">
        <f>W145</f>
        <v>3.4890259740259744</v>
      </c>
    </row>
    <row r="146" spans="1:26" ht="15.6" x14ac:dyDescent="0.3">
      <c r="A146" s="83"/>
      <c r="B146" s="339" t="s">
        <v>44</v>
      </c>
      <c r="C146" s="299">
        <v>1</v>
      </c>
      <c r="D146" s="9"/>
      <c r="E146" s="9">
        <f>C146*'Carichi unitari'!$C$22</f>
        <v>5.9782359375000009</v>
      </c>
      <c r="F146" s="9"/>
      <c r="G146" s="9">
        <f>E146*$C$37</f>
        <v>7.7717067187500017</v>
      </c>
      <c r="H146" s="282">
        <f>E146</f>
        <v>5.9782359375000009</v>
      </c>
      <c r="I146" s="299">
        <v>1</v>
      </c>
      <c r="J146" s="9"/>
      <c r="K146" s="9">
        <f>I146*'Carichi unitari'!$C$22</f>
        <v>5.9782359375000009</v>
      </c>
      <c r="L146" s="9"/>
      <c r="M146" s="9">
        <f>K146*$C$37</f>
        <v>7.7717067187500017</v>
      </c>
      <c r="N146" s="282">
        <f>K146</f>
        <v>5.9782359375000009</v>
      </c>
      <c r="O146" s="299">
        <v>1</v>
      </c>
      <c r="P146" s="9"/>
      <c r="Q146" s="9">
        <f>O146*'Carichi unitari'!$C$22</f>
        <v>5.9782359375000009</v>
      </c>
      <c r="R146" s="9"/>
      <c r="S146" s="9">
        <f>Q146*$C$37</f>
        <v>7.7717067187500017</v>
      </c>
      <c r="T146" s="282">
        <f>Q146</f>
        <v>5.9782359375000009</v>
      </c>
      <c r="U146" s="299"/>
      <c r="V146" s="9"/>
      <c r="W146" s="9"/>
      <c r="X146" s="9"/>
      <c r="Y146" s="9"/>
      <c r="Z146" s="281"/>
    </row>
    <row r="147" spans="1:26" ht="15" thickBot="1" x14ac:dyDescent="0.35">
      <c r="B147" s="340" t="s">
        <v>261</v>
      </c>
      <c r="C147" s="300"/>
      <c r="D147" s="301"/>
      <c r="E147" s="301"/>
      <c r="F147" s="301"/>
      <c r="G147" s="350">
        <f>SUM(G143:G146)</f>
        <v>52.923836588879873</v>
      </c>
      <c r="H147" s="350">
        <f>SUM(H143:H146)</f>
        <v>33.026028145292209</v>
      </c>
      <c r="I147" s="300"/>
      <c r="J147" s="301"/>
      <c r="K147" s="301"/>
      <c r="L147" s="301"/>
      <c r="M147" s="350">
        <f>SUM(M143:M146)</f>
        <v>52.923836588879873</v>
      </c>
      <c r="N147" s="350">
        <f>SUM(N143:N146)</f>
        <v>33.026028145292209</v>
      </c>
      <c r="O147" s="300"/>
      <c r="P147" s="301"/>
      <c r="Q147" s="301"/>
      <c r="R147" s="301"/>
      <c r="S147" s="350">
        <f>SUM(S143:S146)</f>
        <v>51.948836588879871</v>
      </c>
      <c r="T147" s="350">
        <f>SUM(T143:T146)</f>
        <v>32.276028145292209</v>
      </c>
      <c r="U147" s="309"/>
      <c r="V147" s="310"/>
      <c r="W147" s="310"/>
      <c r="X147" s="310"/>
      <c r="Y147" s="353">
        <f>SUM(Y143:Y146)</f>
        <v>47.063129870129877</v>
      </c>
      <c r="Z147" s="354">
        <f>SUM(Z143:Z146)</f>
        <v>28.517792207792208</v>
      </c>
    </row>
    <row r="148" spans="1:26" ht="15" customHeight="1" x14ac:dyDescent="0.3">
      <c r="A148" s="541" t="s">
        <v>300</v>
      </c>
      <c r="B148" s="342" t="s">
        <v>293</v>
      </c>
      <c r="C148" s="299">
        <v>2</v>
      </c>
      <c r="D148" s="358">
        <v>1</v>
      </c>
      <c r="E148" s="9">
        <f>'Carichi unitari'!$C$10*C148*D148</f>
        <v>8.6038961038961048</v>
      </c>
      <c r="F148" s="9">
        <f>C148*'Carichi unitari'!$D$10</f>
        <v>4</v>
      </c>
      <c r="G148" s="9">
        <f>E148*$C$37+F148*$D$37</f>
        <v>17.185064935064936</v>
      </c>
      <c r="H148" s="281">
        <f>E148+F148*$F$36</f>
        <v>9.8038961038961041</v>
      </c>
      <c r="I148" s="299">
        <v>2</v>
      </c>
      <c r="J148" s="358">
        <v>1</v>
      </c>
      <c r="K148" s="9">
        <f>'Carichi unitari'!$C$10*I148*J148</f>
        <v>8.6038961038961048</v>
      </c>
      <c r="L148" s="9">
        <f>I148*'Carichi unitari'!$D$10</f>
        <v>4</v>
      </c>
      <c r="M148" s="9">
        <f>K148*$C$37+L148*$D$37</f>
        <v>17.185064935064936</v>
      </c>
      <c r="N148" s="281">
        <f>K148+L148*$F$36</f>
        <v>9.8038961038961041</v>
      </c>
      <c r="O148" s="299">
        <v>2</v>
      </c>
      <c r="P148" s="358">
        <v>1</v>
      </c>
      <c r="Q148" s="9">
        <f>'Carichi unitari'!$C$10*O148*P148</f>
        <v>8.6038961038961048</v>
      </c>
      <c r="R148" s="9">
        <f>O148*'Carichi unitari'!$D$10</f>
        <v>4</v>
      </c>
      <c r="S148" s="9">
        <f>Q148*$C$37+R148*$D$37</f>
        <v>17.185064935064936</v>
      </c>
      <c r="T148" s="282">
        <f>Q148+R148*$F$36</f>
        <v>9.8038961038961041</v>
      </c>
      <c r="U148" s="318">
        <v>2</v>
      </c>
      <c r="V148" s="357">
        <v>1</v>
      </c>
      <c r="W148" s="319">
        <f>'Carichi unitari'!$C$12*U148*V148</f>
        <v>9.9238961038961051</v>
      </c>
      <c r="X148" s="319">
        <f>U148*'Carichi unitari'!$D$10</f>
        <v>4</v>
      </c>
      <c r="Y148" s="319">
        <f>W148*$C$37+X148*$D$37</f>
        <v>18.901064935064937</v>
      </c>
      <c r="Z148" s="320">
        <f>W148+X148*$F$36</f>
        <v>11.123896103896104</v>
      </c>
    </row>
    <row r="149" spans="1:26" ht="14.4" customHeight="1" x14ac:dyDescent="0.3">
      <c r="A149" s="541"/>
      <c r="B149" s="338" t="s">
        <v>247</v>
      </c>
      <c r="C149" s="332"/>
      <c r="D149" s="9"/>
      <c r="E149" s="9">
        <f>'Carichi unitari'!$C$17</f>
        <v>4.9890259740259744</v>
      </c>
      <c r="F149" s="9"/>
      <c r="G149" s="9">
        <f>E149*$C$37</f>
        <v>6.4857337662337669</v>
      </c>
      <c r="H149" s="282">
        <f>E149</f>
        <v>4.9890259740259744</v>
      </c>
      <c r="I149" s="299"/>
      <c r="J149" s="9"/>
      <c r="K149" s="9">
        <f>'Carichi unitari'!$C$17</f>
        <v>4.9890259740259744</v>
      </c>
      <c r="L149" s="9"/>
      <c r="M149" s="9">
        <f>K149*$C$37</f>
        <v>6.4857337662337669</v>
      </c>
      <c r="N149" s="282">
        <f>K149</f>
        <v>4.9890259740259744</v>
      </c>
      <c r="O149" s="299"/>
      <c r="P149" s="9"/>
      <c r="Q149" s="9">
        <f>'Carichi unitari'!$C$18</f>
        <v>4.2390259740259735</v>
      </c>
      <c r="R149" s="9"/>
      <c r="S149" s="9">
        <f>Q149*$C$37</f>
        <v>5.5107337662337654</v>
      </c>
      <c r="T149" s="282">
        <f>Q149</f>
        <v>4.2390259740259735</v>
      </c>
      <c r="U149" s="299"/>
      <c r="V149" s="9"/>
      <c r="W149" s="9">
        <f>'Carichi unitari'!$C$19</f>
        <v>3.4890259740259744</v>
      </c>
      <c r="X149" s="9"/>
      <c r="Y149" s="9">
        <f>W149*$C$37</f>
        <v>4.5357337662337667</v>
      </c>
      <c r="Z149" s="281">
        <f>W149</f>
        <v>3.4890259740259744</v>
      </c>
    </row>
    <row r="150" spans="1:26" ht="14.4" customHeight="1" x14ac:dyDescent="0.3">
      <c r="A150" s="335"/>
      <c r="B150" s="338" t="s">
        <v>43</v>
      </c>
      <c r="C150" s="377">
        <v>0.5</v>
      </c>
      <c r="D150" s="329">
        <v>1</v>
      </c>
      <c r="E150" s="329">
        <f>C150*D150*'Carichi unitari'!$C$16</f>
        <v>3.5241000000000007</v>
      </c>
      <c r="F150" s="329">
        <f>'Carichi unitari'!$D$16</f>
        <v>4</v>
      </c>
      <c r="G150" s="329">
        <f>E150*$C$37+F150*$D$37</f>
        <v>10.581330000000001</v>
      </c>
      <c r="H150" s="376">
        <f>E150+F150*$G$36</f>
        <v>5.924100000000001</v>
      </c>
      <c r="I150" s="333">
        <v>2.2999999999999998</v>
      </c>
      <c r="J150" s="329">
        <v>1</v>
      </c>
      <c r="K150" s="329">
        <f>I150*J150*'Carichi unitari'!$C$16</f>
        <v>16.21086</v>
      </c>
      <c r="L150" s="329">
        <f>'Carichi unitari'!$D$16</f>
        <v>4</v>
      </c>
      <c r="M150" s="329">
        <f>K150*$C$37+L150*$D$37</f>
        <v>27.074118000000002</v>
      </c>
      <c r="N150" s="376">
        <f>K150+L150*$G$36</f>
        <v>18.610859999999999</v>
      </c>
      <c r="O150" s="333">
        <v>2.2999999999999998</v>
      </c>
      <c r="P150" s="329">
        <v>1</v>
      </c>
      <c r="Q150" s="329">
        <f>O150*P150*'Carichi unitari'!$C$16</f>
        <v>16.21086</v>
      </c>
      <c r="R150" s="329">
        <f>'Carichi unitari'!$D$16</f>
        <v>4</v>
      </c>
      <c r="S150" s="329">
        <f>Q150*$C$37+R150*$D$37</f>
        <v>27.074118000000002</v>
      </c>
      <c r="T150" s="376">
        <f>Q150+R150*$G$36</f>
        <v>18.610859999999999</v>
      </c>
      <c r="U150" s="333">
        <f>C150/2</f>
        <v>0.25</v>
      </c>
      <c r="V150" s="329">
        <v>1</v>
      </c>
      <c r="W150" s="329">
        <f>U150*V150*'Carichi unitari'!$C$16</f>
        <v>1.7620500000000003</v>
      </c>
      <c r="X150" s="329">
        <f>'Carichi unitari'!$D$16</f>
        <v>4</v>
      </c>
      <c r="Y150" s="329">
        <f>W150*$C$37+X150*$D$37</f>
        <v>8.2906650000000006</v>
      </c>
      <c r="Z150" s="334">
        <f>W150+X150*$G$36</f>
        <v>4.1620500000000007</v>
      </c>
    </row>
    <row r="151" spans="1:26" x14ac:dyDescent="0.3">
      <c r="B151" s="339" t="s">
        <v>44</v>
      </c>
      <c r="C151" s="332">
        <v>0.8</v>
      </c>
      <c r="D151" s="9"/>
      <c r="E151" s="9">
        <f>C151*'Carichi unitari'!$C$22</f>
        <v>4.7825887500000013</v>
      </c>
      <c r="F151" s="9"/>
      <c r="G151" s="9">
        <f>E151*$C$37</f>
        <v>6.2173653750000017</v>
      </c>
      <c r="H151" s="282">
        <f>E151</f>
        <v>4.7825887500000013</v>
      </c>
      <c r="I151" s="332">
        <v>0.8</v>
      </c>
      <c r="J151" s="9"/>
      <c r="K151" s="9">
        <f>I151*'Carichi unitari'!$C$22</f>
        <v>4.7825887500000013</v>
      </c>
      <c r="L151" s="9"/>
      <c r="M151" s="9">
        <f>K151*$C$37</f>
        <v>6.2173653750000017</v>
      </c>
      <c r="N151" s="282">
        <f>K151</f>
        <v>4.7825887500000013</v>
      </c>
      <c r="O151" s="332">
        <v>0.8</v>
      </c>
      <c r="P151" s="9"/>
      <c r="Q151" s="9">
        <f>O151*'Carichi unitari'!$C$22</f>
        <v>4.7825887500000013</v>
      </c>
      <c r="R151" s="9"/>
      <c r="S151" s="9">
        <f>Q151*$C$37</f>
        <v>6.2173653750000017</v>
      </c>
      <c r="T151" s="282">
        <f>Q151</f>
        <v>4.7825887500000013</v>
      </c>
      <c r="U151" s="299">
        <v>0.8</v>
      </c>
      <c r="V151" s="9"/>
      <c r="W151" s="9">
        <f>U151*'Carichi unitari'!$C$22</f>
        <v>4.7825887500000013</v>
      </c>
      <c r="X151" s="9"/>
      <c r="Y151" s="9">
        <f>W151*$C$37</f>
        <v>6.2173653750000017</v>
      </c>
      <c r="Z151" s="281">
        <f>W151</f>
        <v>4.7825887500000013</v>
      </c>
    </row>
    <row r="152" spans="1:26" ht="15" thickBot="1" x14ac:dyDescent="0.35">
      <c r="B152" s="340" t="s">
        <v>261</v>
      </c>
      <c r="C152" s="336"/>
      <c r="D152" s="301"/>
      <c r="E152" s="301"/>
      <c r="F152" s="301"/>
      <c r="G152" s="350">
        <f>SUM(G149:G151)</f>
        <v>23.284429141233772</v>
      </c>
      <c r="H152" s="351">
        <f>SUM(H149:H151)</f>
        <v>15.695714724025976</v>
      </c>
      <c r="I152" s="300"/>
      <c r="J152" s="301"/>
      <c r="K152" s="301"/>
      <c r="L152" s="301"/>
      <c r="M152" s="350">
        <f>SUM(M149:M151)</f>
        <v>39.77721714123377</v>
      </c>
      <c r="N152" s="351">
        <f>SUM(N149:N151)</f>
        <v>28.382474724025975</v>
      </c>
      <c r="O152" s="300"/>
      <c r="P152" s="301"/>
      <c r="Q152" s="301"/>
      <c r="R152" s="301"/>
      <c r="S152" s="350">
        <f>SUM(S149:S151)</f>
        <v>38.802217141233768</v>
      </c>
      <c r="T152" s="351">
        <f>SUM(T149:T151)</f>
        <v>27.632474724025975</v>
      </c>
      <c r="U152" s="300"/>
      <c r="V152" s="301"/>
      <c r="W152" s="301"/>
      <c r="X152" s="301"/>
      <c r="Y152" s="350">
        <f>SUM(Y149:Y151)</f>
        <v>19.043764141233769</v>
      </c>
      <c r="Z152" s="352">
        <f>SUM(Z149:Z151)</f>
        <v>12.433664724025977</v>
      </c>
    </row>
    <row r="153" spans="1:26" ht="16.2" thickBot="1" x14ac:dyDescent="0.35">
      <c r="C153" s="543" t="s">
        <v>302</v>
      </c>
      <c r="D153" s="544"/>
      <c r="E153" s="544"/>
      <c r="F153" s="544"/>
      <c r="G153" s="544"/>
      <c r="H153" s="545"/>
      <c r="I153" s="538" t="s">
        <v>303</v>
      </c>
      <c r="J153" s="539"/>
      <c r="K153" s="539"/>
      <c r="L153" s="539"/>
      <c r="M153" s="539"/>
      <c r="N153" s="540"/>
      <c r="O153" s="538" t="s">
        <v>304</v>
      </c>
      <c r="P153" s="539"/>
      <c r="Q153" s="539"/>
      <c r="R153" s="539"/>
      <c r="S153" s="539"/>
      <c r="T153" s="540"/>
      <c r="U153" s="554" t="s">
        <v>305</v>
      </c>
      <c r="V153" s="555"/>
      <c r="W153" s="555"/>
      <c r="X153" s="555"/>
      <c r="Y153" s="555"/>
      <c r="Z153" s="556"/>
    </row>
    <row r="154" spans="1:26" ht="46.2" thickBot="1" x14ac:dyDescent="0.35">
      <c r="C154" s="313" t="s">
        <v>241</v>
      </c>
      <c r="D154" s="314" t="s">
        <v>242</v>
      </c>
      <c r="E154" s="315" t="s">
        <v>8</v>
      </c>
      <c r="F154" s="315" t="s">
        <v>9</v>
      </c>
      <c r="G154" s="316" t="s">
        <v>253</v>
      </c>
      <c r="H154" s="317" t="s">
        <v>254</v>
      </c>
      <c r="I154" s="322" t="s">
        <v>241</v>
      </c>
      <c r="J154" s="323" t="s">
        <v>242</v>
      </c>
      <c r="K154" s="324" t="s">
        <v>8</v>
      </c>
      <c r="L154" s="324" t="s">
        <v>9</v>
      </c>
      <c r="M154" s="325" t="s">
        <v>253</v>
      </c>
      <c r="N154" s="326" t="s">
        <v>254</v>
      </c>
      <c r="O154" s="327" t="s">
        <v>241</v>
      </c>
      <c r="P154" s="323" t="s">
        <v>242</v>
      </c>
      <c r="Q154" s="324" t="s">
        <v>8</v>
      </c>
      <c r="R154" s="324" t="s">
        <v>9</v>
      </c>
      <c r="S154" s="325" t="s">
        <v>253</v>
      </c>
      <c r="T154" s="326" t="s">
        <v>254</v>
      </c>
      <c r="U154" s="327" t="s">
        <v>241</v>
      </c>
      <c r="V154" s="323" t="s">
        <v>242</v>
      </c>
      <c r="W154" s="324" t="s">
        <v>8</v>
      </c>
      <c r="X154" s="324" t="s">
        <v>9</v>
      </c>
      <c r="Y154" s="325" t="s">
        <v>243</v>
      </c>
      <c r="Z154" s="326" t="s">
        <v>244</v>
      </c>
    </row>
    <row r="155" spans="1:26" x14ac:dyDescent="0.3">
      <c r="A155" s="550" t="s">
        <v>306</v>
      </c>
      <c r="B155" s="337" t="s">
        <v>292</v>
      </c>
      <c r="C155" s="318">
        <v>2.5</v>
      </c>
      <c r="D155" s="357">
        <v>1</v>
      </c>
      <c r="E155" s="319">
        <f>'Carichi unitari'!$C$10*C155*D155</f>
        <v>10.754870129870131</v>
      </c>
      <c r="F155" s="319">
        <f>C155*'Carichi unitari'!$D$10</f>
        <v>5</v>
      </c>
      <c r="G155" s="319">
        <f>E155*$C$37+F155*$D$37</f>
        <v>21.481331168831169</v>
      </c>
      <c r="H155" s="320">
        <f>E155+F155*$F$36</f>
        <v>12.254870129870131</v>
      </c>
      <c r="I155" s="318">
        <v>2.5</v>
      </c>
      <c r="J155" s="357">
        <v>1</v>
      </c>
      <c r="K155" s="319">
        <f>'Carichi unitari'!$C$10*I155*J155</f>
        <v>10.754870129870131</v>
      </c>
      <c r="L155" s="319">
        <f>I155*'Carichi unitari'!$D$10</f>
        <v>5</v>
      </c>
      <c r="M155" s="319">
        <f>K155*$C$37+L155*$D$37</f>
        <v>21.481331168831169</v>
      </c>
      <c r="N155" s="320">
        <f>K155+L155*$F$36</f>
        <v>12.254870129870131</v>
      </c>
      <c r="O155" s="318">
        <v>2.5</v>
      </c>
      <c r="P155" s="357">
        <v>1</v>
      </c>
      <c r="Q155" s="319">
        <f>'Carichi unitari'!$C$10*O155*P155</f>
        <v>10.754870129870131</v>
      </c>
      <c r="R155" s="319">
        <f>O155*'Carichi unitari'!$D$10</f>
        <v>5</v>
      </c>
      <c r="S155" s="319">
        <f>Q155*$C$37+R155*$D$37</f>
        <v>21.481331168831169</v>
      </c>
      <c r="T155" s="320">
        <f>Q155+R155*$F$36</f>
        <v>12.254870129870131</v>
      </c>
      <c r="U155" s="318">
        <v>2.5</v>
      </c>
      <c r="V155" s="357">
        <v>1</v>
      </c>
      <c r="W155" s="319">
        <f>'Carichi unitari'!$C$12*U155*V155</f>
        <v>12.404870129870131</v>
      </c>
      <c r="X155" s="319">
        <f>U155*'Carichi unitari'!$D$10</f>
        <v>5</v>
      </c>
      <c r="Y155" s="319">
        <f>W155*$C$37+X155*$D$37</f>
        <v>23.626331168831172</v>
      </c>
      <c r="Z155" s="320">
        <f>W155+X155*$F$36</f>
        <v>13.904870129870131</v>
      </c>
    </row>
    <row r="156" spans="1:26" ht="14.4" customHeight="1" x14ac:dyDescent="0.3">
      <c r="A156" s="551"/>
      <c r="B156" s="338" t="s">
        <v>293</v>
      </c>
      <c r="C156" s="299">
        <v>2.5</v>
      </c>
      <c r="D156" s="358">
        <v>1</v>
      </c>
      <c r="E156" s="9">
        <f>'Carichi unitari'!$C$10*C156*D156</f>
        <v>10.754870129870131</v>
      </c>
      <c r="F156" s="9">
        <f>C156*'Carichi unitari'!$D$10</f>
        <v>5</v>
      </c>
      <c r="G156" s="9">
        <f>E156*$C$37+F156*$D$37</f>
        <v>21.481331168831169</v>
      </c>
      <c r="H156" s="281">
        <f>E156+F156*$F$36</f>
        <v>12.254870129870131</v>
      </c>
      <c r="I156" s="299">
        <v>2</v>
      </c>
      <c r="J156" s="358">
        <v>1</v>
      </c>
      <c r="K156" s="9">
        <f>'Carichi unitari'!$C$10*I156*J156</f>
        <v>8.6038961038961048</v>
      </c>
      <c r="L156" s="9">
        <f>I156*'Carichi unitari'!$D$10</f>
        <v>4</v>
      </c>
      <c r="M156" s="9">
        <f>K156*$C$37+L156*$D$37</f>
        <v>17.185064935064936</v>
      </c>
      <c r="N156" s="281">
        <f>K156+L156*$F$36</f>
        <v>9.8038961038961041</v>
      </c>
      <c r="O156" s="299">
        <v>2</v>
      </c>
      <c r="P156" s="358">
        <v>1</v>
      </c>
      <c r="Q156" s="9">
        <f>'Carichi unitari'!$C$10*O156*P156</f>
        <v>8.6038961038961048</v>
      </c>
      <c r="R156" s="9">
        <f>O156*'Carichi unitari'!$D$10</f>
        <v>4</v>
      </c>
      <c r="S156" s="9">
        <f>Q156*$C$37+R156*$D$37</f>
        <v>17.185064935064936</v>
      </c>
      <c r="T156" s="281">
        <f>Q156+R156*$F$36</f>
        <v>9.8038961038961041</v>
      </c>
      <c r="U156" s="299">
        <v>2</v>
      </c>
      <c r="V156" s="358">
        <v>1</v>
      </c>
      <c r="W156" s="9">
        <f>'Carichi unitari'!$C$12*U156*V156</f>
        <v>9.9238961038961051</v>
      </c>
      <c r="X156" s="9">
        <f>U156*'Carichi unitari'!$D$10</f>
        <v>4</v>
      </c>
      <c r="Y156" s="9">
        <f>W156*$C$37+X156*$D$37</f>
        <v>18.901064935064937</v>
      </c>
      <c r="Z156" s="281">
        <f>W156+X156*$F$36</f>
        <v>11.123896103896104</v>
      </c>
    </row>
    <row r="157" spans="1:26" ht="14.4" customHeight="1" x14ac:dyDescent="0.3">
      <c r="A157" s="552"/>
      <c r="B157" s="338" t="s">
        <v>247</v>
      </c>
      <c r="C157" s="299"/>
      <c r="D157" s="9"/>
      <c r="E157" s="9">
        <f>'Carichi unitari'!$C$17</f>
        <v>4.9890259740259744</v>
      </c>
      <c r="F157" s="9"/>
      <c r="G157" s="9">
        <f>E157*$C$37</f>
        <v>6.4857337662337669</v>
      </c>
      <c r="H157" s="281">
        <f>E157</f>
        <v>4.9890259740259744</v>
      </c>
      <c r="I157" s="299"/>
      <c r="J157" s="9"/>
      <c r="K157" s="9">
        <f>'Carichi unitari'!$C$17</f>
        <v>4.9890259740259744</v>
      </c>
      <c r="L157" s="9"/>
      <c r="M157" s="9">
        <f>K157*$C$37</f>
        <v>6.4857337662337669</v>
      </c>
      <c r="N157" s="281">
        <f>K157</f>
        <v>4.9890259740259744</v>
      </c>
      <c r="O157" s="299"/>
      <c r="P157" s="9"/>
      <c r="Q157" s="9">
        <f>'Carichi unitari'!$C$18</f>
        <v>4.2390259740259735</v>
      </c>
      <c r="R157" s="9"/>
      <c r="S157" s="9">
        <f>Q157*$C$37</f>
        <v>5.5107337662337654</v>
      </c>
      <c r="T157" s="281">
        <f>Q157</f>
        <v>4.2390259740259735</v>
      </c>
      <c r="U157" s="299"/>
      <c r="V157" s="9"/>
      <c r="W157" s="9">
        <f>'Carichi unitari'!$C$19</f>
        <v>3.4890259740259744</v>
      </c>
      <c r="X157" s="9"/>
      <c r="Y157" s="9">
        <f>W157*$C$37</f>
        <v>4.5357337662337667</v>
      </c>
      <c r="Z157" s="281">
        <f>W157</f>
        <v>3.4890259740259744</v>
      </c>
    </row>
    <row r="158" spans="1:26" ht="15.6" customHeight="1" x14ac:dyDescent="0.3">
      <c r="A158" s="83"/>
      <c r="B158" s="339" t="s">
        <v>356</v>
      </c>
      <c r="C158" s="309">
        <f>C156+C155</f>
        <v>5</v>
      </c>
      <c r="D158" s="310"/>
      <c r="E158" s="310">
        <f>'Carichi unitari'!$C$11*C158</f>
        <v>6</v>
      </c>
      <c r="F158" s="310"/>
      <c r="G158" s="310">
        <f>E158*$D$37</f>
        <v>9</v>
      </c>
      <c r="H158" s="311">
        <f>E158</f>
        <v>6</v>
      </c>
      <c r="I158" s="309">
        <f>I156+I155</f>
        <v>4.5</v>
      </c>
      <c r="J158" s="310"/>
      <c r="K158" s="310">
        <f>'Carichi unitari'!$C$11*I158</f>
        <v>5.3999999999999995</v>
      </c>
      <c r="L158" s="310"/>
      <c r="M158" s="310">
        <f>K158*$D$37</f>
        <v>8.1</v>
      </c>
      <c r="N158" s="311">
        <f>K158</f>
        <v>5.3999999999999995</v>
      </c>
      <c r="O158" s="309">
        <f>O156+O155</f>
        <v>4.5</v>
      </c>
      <c r="P158" s="310"/>
      <c r="Q158" s="310">
        <f>'Carichi unitari'!$C$11*O158</f>
        <v>5.3999999999999995</v>
      </c>
      <c r="R158" s="310"/>
      <c r="S158" s="310">
        <f>Q158*$D$37</f>
        <v>8.1</v>
      </c>
      <c r="T158" s="311">
        <f>Q158</f>
        <v>5.3999999999999995</v>
      </c>
      <c r="U158" s="309"/>
      <c r="V158" s="310"/>
      <c r="W158" s="310"/>
      <c r="X158" s="310"/>
      <c r="Y158" s="310"/>
      <c r="Z158" s="311"/>
    </row>
    <row r="159" spans="1:26" ht="15" customHeight="1" thickBot="1" x14ac:dyDescent="0.35">
      <c r="B159" s="340" t="s">
        <v>261</v>
      </c>
      <c r="C159" s="300"/>
      <c r="D159" s="301"/>
      <c r="E159" s="301"/>
      <c r="F159" s="301"/>
      <c r="G159" s="350">
        <f>SUM(G155:G158)</f>
        <v>58.448396103896101</v>
      </c>
      <c r="H159" s="350">
        <f>SUM(H155:H158)</f>
        <v>35.498766233766233</v>
      </c>
      <c r="I159" s="300"/>
      <c r="J159" s="301"/>
      <c r="K159" s="301"/>
      <c r="L159" s="301"/>
      <c r="M159" s="350">
        <f>SUM(M155:M158)</f>
        <v>53.25212987012987</v>
      </c>
      <c r="N159" s="350">
        <f>SUM(N155:N158)</f>
        <v>32.447792207792212</v>
      </c>
      <c r="O159" s="300"/>
      <c r="P159" s="301"/>
      <c r="Q159" s="301"/>
      <c r="R159" s="301"/>
      <c r="S159" s="350">
        <f>SUM(S155:S158)</f>
        <v>52.277129870129869</v>
      </c>
      <c r="T159" s="350">
        <f>SUM(T155:T158)</f>
        <v>31.697792207792208</v>
      </c>
      <c r="U159" s="309"/>
      <c r="V159" s="310"/>
      <c r="W159" s="310"/>
      <c r="X159" s="310"/>
      <c r="Y159" s="353">
        <f>SUM(Y155:Y158)</f>
        <v>47.063129870129877</v>
      </c>
      <c r="Z159" s="354">
        <f>SUM(Z155:Z158)</f>
        <v>28.517792207792208</v>
      </c>
    </row>
    <row r="160" spans="1:26" ht="14.4" customHeight="1" x14ac:dyDescent="0.3">
      <c r="A160" s="541" t="s">
        <v>307</v>
      </c>
      <c r="B160" s="342" t="s">
        <v>292</v>
      </c>
      <c r="C160" s="299">
        <v>2.5</v>
      </c>
      <c r="D160" s="358">
        <v>1</v>
      </c>
      <c r="E160" s="9">
        <f>'Carichi unitari'!$C$10*C160*D160</f>
        <v>10.754870129870131</v>
      </c>
      <c r="F160" s="9">
        <f>C160*'Carichi unitari'!$D$10</f>
        <v>5</v>
      </c>
      <c r="G160" s="9">
        <f>E160*$C$37+F160*$D$37</f>
        <v>21.481331168831169</v>
      </c>
      <c r="H160" s="281">
        <f>E160+F160*$F$36</f>
        <v>12.254870129870131</v>
      </c>
      <c r="I160" s="299">
        <v>2</v>
      </c>
      <c r="J160" s="358">
        <v>1</v>
      </c>
      <c r="K160" s="9">
        <f>'Carichi unitari'!$C$10*I160*J160</f>
        <v>8.6038961038961048</v>
      </c>
      <c r="L160" s="9">
        <f>I160*'Carichi unitari'!$D$10</f>
        <v>4</v>
      </c>
      <c r="M160" s="9">
        <f>K160*$C$37+L160*$D$37</f>
        <v>17.185064935064936</v>
      </c>
      <c r="N160" s="281">
        <f>K160+L160*$F$36</f>
        <v>9.8038961038961041</v>
      </c>
      <c r="O160" s="299">
        <v>2</v>
      </c>
      <c r="P160" s="358">
        <v>1</v>
      </c>
      <c r="Q160" s="9">
        <f>'Carichi unitari'!$C$10*O160*P160</f>
        <v>8.6038961038961048</v>
      </c>
      <c r="R160" s="9">
        <f>O160*'Carichi unitari'!$D$10</f>
        <v>4</v>
      </c>
      <c r="S160" s="9">
        <f>Q160*$C$37+R160*$D$37</f>
        <v>17.185064935064936</v>
      </c>
      <c r="T160" s="282">
        <f>Q160+R160*$F$36</f>
        <v>9.8038961038961041</v>
      </c>
      <c r="U160" s="318">
        <v>2</v>
      </c>
      <c r="V160" s="357">
        <v>1</v>
      </c>
      <c r="W160" s="319">
        <f>'Carichi unitari'!$C$12*U160*V160</f>
        <v>9.9238961038961051</v>
      </c>
      <c r="X160" s="319">
        <f>U160*'Carichi unitari'!$D$10</f>
        <v>4</v>
      </c>
      <c r="Y160" s="319">
        <f>W160*$C$37+X160*$D$37</f>
        <v>18.901064935064937</v>
      </c>
      <c r="Z160" s="320">
        <f>W160+X160*$F$36</f>
        <v>11.123896103896104</v>
      </c>
    </row>
    <row r="161" spans="1:29" ht="14.4" customHeight="1" x14ac:dyDescent="0.3">
      <c r="A161" s="541"/>
      <c r="B161" s="338" t="s">
        <v>247</v>
      </c>
      <c r="C161" s="377"/>
      <c r="D161" s="329"/>
      <c r="E161" s="9">
        <f>'Carichi unitari'!$C$17</f>
        <v>4.9890259740259744</v>
      </c>
      <c r="F161" s="329"/>
      <c r="G161" s="329">
        <f>E161*$C$37</f>
        <v>6.4857337662337669</v>
      </c>
      <c r="H161" s="376">
        <f>E161</f>
        <v>4.9890259740259744</v>
      </c>
      <c r="I161" s="333"/>
      <c r="J161" s="329"/>
      <c r="K161" s="329">
        <f>'Carichi unitari'!$C$17</f>
        <v>4.9890259740259744</v>
      </c>
      <c r="L161" s="329"/>
      <c r="M161" s="329">
        <f>K161*$C$37</f>
        <v>6.4857337662337669</v>
      </c>
      <c r="N161" s="376">
        <f>K161</f>
        <v>4.9890259740259744</v>
      </c>
      <c r="O161" s="333"/>
      <c r="P161" s="329"/>
      <c r="Q161" s="329">
        <f>'Carichi unitari'!$C$18</f>
        <v>4.2390259740259735</v>
      </c>
      <c r="R161" s="329"/>
      <c r="S161" s="329">
        <f>Q161*$C$37</f>
        <v>5.5107337662337654</v>
      </c>
      <c r="T161" s="376">
        <f>Q161</f>
        <v>4.2390259740259735</v>
      </c>
      <c r="U161" s="333"/>
      <c r="V161" s="329"/>
      <c r="W161" s="329">
        <f>'Carichi unitari'!$C$19</f>
        <v>3.4890259740259744</v>
      </c>
      <c r="X161" s="329"/>
      <c r="Y161" s="329">
        <f>W161*$C$37</f>
        <v>4.5357337662337667</v>
      </c>
      <c r="Z161" s="334">
        <f>W161</f>
        <v>3.4890259740259744</v>
      </c>
    </row>
    <row r="162" spans="1:29" ht="15.6" x14ac:dyDescent="0.3">
      <c r="A162" s="335"/>
      <c r="B162" s="338" t="s">
        <v>43</v>
      </c>
      <c r="C162" s="377">
        <v>0.5</v>
      </c>
      <c r="D162" s="329">
        <v>1</v>
      </c>
      <c r="E162" s="329">
        <f>C162*D162*'Carichi unitari'!$C$16</f>
        <v>3.5241000000000007</v>
      </c>
      <c r="F162" s="329">
        <f>'Carichi unitari'!$D$16</f>
        <v>4</v>
      </c>
      <c r="G162" s="329">
        <f>E162*$C$37+F162*$D$37</f>
        <v>10.581330000000001</v>
      </c>
      <c r="H162" s="376">
        <f>E162+F162*$G$36</f>
        <v>5.924100000000001</v>
      </c>
      <c r="I162" s="333">
        <v>2.2999999999999998</v>
      </c>
      <c r="J162" s="329">
        <v>1</v>
      </c>
      <c r="K162" s="329">
        <f>I162*J162*'Carichi unitari'!$C$16</f>
        <v>16.21086</v>
      </c>
      <c r="L162" s="329">
        <f>'Carichi unitari'!$D$16</f>
        <v>4</v>
      </c>
      <c r="M162" s="329">
        <f>K162*$C$37+L162*$D$37</f>
        <v>27.074118000000002</v>
      </c>
      <c r="N162" s="376">
        <f>K162+L162*$G$36</f>
        <v>18.610859999999999</v>
      </c>
      <c r="O162" s="333">
        <v>2.2999999999999998</v>
      </c>
      <c r="P162" s="329">
        <v>1</v>
      </c>
      <c r="Q162" s="329">
        <f>O162*P162*'Carichi unitari'!$C$16</f>
        <v>16.21086</v>
      </c>
      <c r="R162" s="329">
        <f>'Carichi unitari'!$D$16</f>
        <v>4</v>
      </c>
      <c r="S162" s="329">
        <f>Q162*$C$37+R162*$D$37</f>
        <v>27.074118000000002</v>
      </c>
      <c r="T162" s="376">
        <f>Q162+R162*$G$36</f>
        <v>18.610859999999999</v>
      </c>
      <c r="U162" s="333">
        <f>C162/2</f>
        <v>0.25</v>
      </c>
      <c r="V162" s="329">
        <v>1</v>
      </c>
      <c r="W162" s="329">
        <f>U162*V162*'Carichi unitari'!$C$16</f>
        <v>1.7620500000000003</v>
      </c>
      <c r="X162" s="329">
        <f>'Carichi unitari'!$D$16</f>
        <v>4</v>
      </c>
      <c r="Y162" s="329">
        <f>W162*$C$37+X162*$D$37</f>
        <v>8.2906650000000006</v>
      </c>
      <c r="Z162" s="334">
        <f>W162+X162*$G$36</f>
        <v>4.1620500000000007</v>
      </c>
      <c r="AC162" s="450"/>
    </row>
    <row r="163" spans="1:29" x14ac:dyDescent="0.3">
      <c r="B163" s="339" t="s">
        <v>44</v>
      </c>
      <c r="C163" s="332">
        <v>0.8</v>
      </c>
      <c r="D163" s="9"/>
      <c r="E163" s="9">
        <f>C163*'Carichi unitari'!$C$22</f>
        <v>4.7825887500000013</v>
      </c>
      <c r="F163" s="9"/>
      <c r="G163" s="9">
        <f>E163*$C$37</f>
        <v>6.2173653750000017</v>
      </c>
      <c r="H163" s="282">
        <f>E163</f>
        <v>4.7825887500000013</v>
      </c>
      <c r="I163" s="332">
        <v>0.8</v>
      </c>
      <c r="J163" s="9"/>
      <c r="K163" s="9">
        <f>I163*'Carichi unitari'!$C$22</f>
        <v>4.7825887500000013</v>
      </c>
      <c r="L163" s="9"/>
      <c r="M163" s="9">
        <f>K163*$C$37</f>
        <v>6.2173653750000017</v>
      </c>
      <c r="N163" s="282">
        <f>K163</f>
        <v>4.7825887500000013</v>
      </c>
      <c r="O163" s="332">
        <v>0.8</v>
      </c>
      <c r="P163" s="9"/>
      <c r="Q163" s="9">
        <f>O163*'Carichi unitari'!$C$22</f>
        <v>4.7825887500000013</v>
      </c>
      <c r="R163" s="9"/>
      <c r="S163" s="9">
        <f>Q163*$C$37</f>
        <v>6.2173653750000017</v>
      </c>
      <c r="T163" s="282">
        <f>Q163</f>
        <v>4.7825887500000013</v>
      </c>
      <c r="U163" s="299">
        <v>0.8</v>
      </c>
      <c r="V163" s="9"/>
      <c r="W163" s="9">
        <f>U163*'Carichi unitari'!$C$22</f>
        <v>4.7825887500000013</v>
      </c>
      <c r="X163" s="9"/>
      <c r="Y163" s="9">
        <f>W163*$C$37</f>
        <v>6.2173653750000017</v>
      </c>
      <c r="Z163" s="281">
        <f>W163</f>
        <v>4.7825887500000013</v>
      </c>
    </row>
    <row r="164" spans="1:29" ht="15" thickBot="1" x14ac:dyDescent="0.35">
      <c r="B164" s="340" t="s">
        <v>261</v>
      </c>
      <c r="C164" s="336"/>
      <c r="D164" s="301"/>
      <c r="E164" s="301"/>
      <c r="F164" s="301"/>
      <c r="G164" s="350">
        <f>SUM(G160:G163)</f>
        <v>44.765760310064934</v>
      </c>
      <c r="H164" s="350">
        <f>SUM(H160:H163)</f>
        <v>27.95058485389611</v>
      </c>
      <c r="I164" s="300"/>
      <c r="J164" s="301"/>
      <c r="K164" s="301"/>
      <c r="L164" s="301"/>
      <c r="M164" s="350">
        <f>SUM(M160:M163)</f>
        <v>56.962282076298706</v>
      </c>
      <c r="N164" s="350">
        <f>SUM(N160:N163)</f>
        <v>38.186370827922076</v>
      </c>
      <c r="O164" s="300"/>
      <c r="P164" s="301"/>
      <c r="Q164" s="301"/>
      <c r="R164" s="301"/>
      <c r="S164" s="350">
        <f>SUM(S160:S163)</f>
        <v>55.987282076298705</v>
      </c>
      <c r="T164" s="351">
        <f>SUM(T160:T163)</f>
        <v>37.436370827922076</v>
      </c>
      <c r="U164" s="300"/>
      <c r="V164" s="301"/>
      <c r="W164" s="301"/>
      <c r="X164" s="301"/>
      <c r="Y164" s="350">
        <f>SUM(Y160:Y163)</f>
        <v>37.94482907629871</v>
      </c>
      <c r="Z164" s="352">
        <f>SUM(Z160:Z163)</f>
        <v>23.557560827922082</v>
      </c>
    </row>
    <row r="165" spans="1:29" x14ac:dyDescent="0.3">
      <c r="A165" s="501" t="s">
        <v>308</v>
      </c>
      <c r="B165" s="302" t="s">
        <v>42</v>
      </c>
      <c r="C165" s="318">
        <v>2.5</v>
      </c>
      <c r="D165" s="319">
        <v>1</v>
      </c>
      <c r="E165" s="319">
        <f>'Carichi unitari'!$C$10*C165</f>
        <v>10.754870129870131</v>
      </c>
      <c r="F165" s="319">
        <f>C165*'Carichi unitari'!$D$10</f>
        <v>5</v>
      </c>
      <c r="G165" s="319">
        <f>E165*$C$37+F165*$D$37</f>
        <v>21.481331168831169</v>
      </c>
      <c r="H165" s="321">
        <f>E165+F165*$F$36</f>
        <v>12.254870129870131</v>
      </c>
      <c r="I165" s="318">
        <v>2.5</v>
      </c>
      <c r="J165" s="319">
        <v>1</v>
      </c>
      <c r="K165" s="319">
        <f>'Carichi unitari'!$C$10*I165</f>
        <v>10.754870129870131</v>
      </c>
      <c r="L165" s="319">
        <f>I165*'Carichi unitari'!$D$10</f>
        <v>5</v>
      </c>
      <c r="M165" s="319">
        <f>K165*$C$37+L165*$D$37</f>
        <v>21.481331168831169</v>
      </c>
      <c r="N165" s="321">
        <f>K165+L165*$F$36</f>
        <v>12.254870129870131</v>
      </c>
      <c r="O165" s="318">
        <v>2.5</v>
      </c>
      <c r="P165" s="319">
        <v>1</v>
      </c>
      <c r="Q165" s="319">
        <f>'Carichi unitari'!$C$10*O165</f>
        <v>10.754870129870131</v>
      </c>
      <c r="R165" s="319">
        <f>O165*'Carichi unitari'!$D$10</f>
        <v>5</v>
      </c>
      <c r="S165" s="319">
        <f>Q165*$C$37+R165*$D$37</f>
        <v>21.481331168831169</v>
      </c>
      <c r="T165" s="321">
        <f>Q165+R165*$F$36</f>
        <v>12.254870129870131</v>
      </c>
      <c r="U165" s="355">
        <v>2.5</v>
      </c>
      <c r="V165" s="16">
        <v>1.05</v>
      </c>
      <c r="W165" s="16">
        <f>'Carichi unitari'!$C$12*U165*V165</f>
        <v>13.025113636363638</v>
      </c>
      <c r="X165" s="16">
        <f>U165*'Carichi unitari'!$D$10</f>
        <v>5</v>
      </c>
      <c r="Y165" s="16">
        <f>W165*$C$37+X165*$D$37</f>
        <v>24.43264772727273</v>
      </c>
      <c r="Z165" s="356">
        <f>W165+X165*$F$36</f>
        <v>14.525113636363638</v>
      </c>
    </row>
    <row r="166" spans="1:29" x14ac:dyDescent="0.3">
      <c r="A166" s="553"/>
      <c r="B166" s="302" t="s">
        <v>247</v>
      </c>
      <c r="C166" s="299"/>
      <c r="D166" s="9"/>
      <c r="E166" s="9">
        <f>'Carichi unitari'!$C$17</f>
        <v>4.9890259740259744</v>
      </c>
      <c r="F166" s="9"/>
      <c r="G166" s="9">
        <f>E166*$C$37</f>
        <v>6.4857337662337669</v>
      </c>
      <c r="H166" s="282">
        <f>E166</f>
        <v>4.9890259740259744</v>
      </c>
      <c r="I166" s="299"/>
      <c r="J166" s="9"/>
      <c r="K166" s="9">
        <f>'Carichi unitari'!$C$17</f>
        <v>4.9890259740259744</v>
      </c>
      <c r="L166" s="9"/>
      <c r="M166" s="9">
        <f>K166*$C$37</f>
        <v>6.4857337662337669</v>
      </c>
      <c r="N166" s="282">
        <f>K166</f>
        <v>4.9890259740259744</v>
      </c>
      <c r="O166" s="299"/>
      <c r="P166" s="9"/>
      <c r="Q166" s="9">
        <f>'Carichi unitari'!$C$18</f>
        <v>4.2390259740259735</v>
      </c>
      <c r="R166" s="9"/>
      <c r="S166" s="9">
        <f>Q166*$C$37</f>
        <v>5.5107337662337654</v>
      </c>
      <c r="T166" s="282">
        <f>Q166</f>
        <v>4.2390259740259735</v>
      </c>
      <c r="U166" s="299"/>
      <c r="V166" s="9"/>
      <c r="W166" s="9">
        <f>'Carichi unitari'!$C$19</f>
        <v>3.4890259740259744</v>
      </c>
      <c r="X166" s="9"/>
      <c r="Y166" s="9">
        <f>W166*$C$37</f>
        <v>4.5357337662337667</v>
      </c>
      <c r="Z166" s="281">
        <f>W166</f>
        <v>3.4890259740259744</v>
      </c>
    </row>
    <row r="167" spans="1:29" x14ac:dyDescent="0.3">
      <c r="A167" s="331"/>
      <c r="B167" s="302" t="s">
        <v>45</v>
      </c>
      <c r="C167" s="299"/>
      <c r="D167" s="9"/>
      <c r="E167" s="9"/>
      <c r="F167" s="9"/>
      <c r="G167" s="9"/>
      <c r="H167" s="282"/>
      <c r="I167" s="299"/>
      <c r="J167" s="9"/>
      <c r="K167" s="9"/>
      <c r="L167" s="9"/>
      <c r="M167" s="9"/>
      <c r="N167" s="282"/>
      <c r="O167" s="299"/>
      <c r="P167" s="9"/>
      <c r="Q167" s="9"/>
      <c r="R167" s="9"/>
      <c r="S167" s="9"/>
      <c r="T167" s="282"/>
      <c r="U167" s="299">
        <f>0.5</f>
        <v>0.5</v>
      </c>
      <c r="V167" s="9">
        <v>1.05</v>
      </c>
      <c r="W167" s="329">
        <f>'Carichi unitari'!$C$15*U167*V167</f>
        <v>1.8375000000000001</v>
      </c>
      <c r="X167" s="329">
        <f>'Carichi unitari'!$D$15</f>
        <v>0.5</v>
      </c>
      <c r="Y167" s="329">
        <f>W167*$C$37+X167*$D$37</f>
        <v>3.1387500000000004</v>
      </c>
      <c r="Z167" s="334">
        <f>W167</f>
        <v>1.8375000000000001</v>
      </c>
    </row>
    <row r="168" spans="1:29" x14ac:dyDescent="0.3">
      <c r="B168" s="303" t="s">
        <v>44</v>
      </c>
      <c r="C168" s="299">
        <v>1</v>
      </c>
      <c r="D168" s="9"/>
      <c r="E168" s="9">
        <f>C168*'Carichi unitari'!$C$22</f>
        <v>5.9782359375000009</v>
      </c>
      <c r="F168" s="9"/>
      <c r="G168" s="9">
        <f>E168*$C$37</f>
        <v>7.7717067187500017</v>
      </c>
      <c r="H168" s="282">
        <f>E168</f>
        <v>5.9782359375000009</v>
      </c>
      <c r="I168" s="299">
        <v>1</v>
      </c>
      <c r="J168" s="9"/>
      <c r="K168" s="9">
        <f>I168*'Carichi unitari'!$C$22</f>
        <v>5.9782359375000009</v>
      </c>
      <c r="L168" s="9"/>
      <c r="M168" s="9">
        <f>K168*$C$37</f>
        <v>7.7717067187500017</v>
      </c>
      <c r="N168" s="282">
        <f>K168</f>
        <v>5.9782359375000009</v>
      </c>
      <c r="O168" s="299">
        <v>1</v>
      </c>
      <c r="P168" s="9"/>
      <c r="Q168" s="9">
        <f>O168*'Carichi unitari'!$C$22</f>
        <v>5.9782359375000009</v>
      </c>
      <c r="R168" s="9"/>
      <c r="S168" s="9">
        <f>Q168*$C$37</f>
        <v>7.7717067187500017</v>
      </c>
      <c r="T168" s="282">
        <f>Q168</f>
        <v>5.9782359375000009</v>
      </c>
      <c r="U168" s="299"/>
      <c r="V168" s="9"/>
      <c r="W168" s="9"/>
      <c r="X168" s="9"/>
      <c r="Y168" s="9"/>
      <c r="Z168" s="281"/>
    </row>
    <row r="169" spans="1:29" ht="15" thickBot="1" x14ac:dyDescent="0.35">
      <c r="B169" s="303" t="s">
        <v>261</v>
      </c>
      <c r="C169" s="300"/>
      <c r="D169" s="301"/>
      <c r="E169" s="301"/>
      <c r="F169" s="301"/>
      <c r="G169" s="350">
        <f>SUM(G165:G168)</f>
        <v>35.738771653814936</v>
      </c>
      <c r="H169" s="351">
        <f>SUM(H165:H168)</f>
        <v>23.222132041396108</v>
      </c>
      <c r="I169" s="300"/>
      <c r="J169" s="301"/>
      <c r="K169" s="301"/>
      <c r="L169" s="301"/>
      <c r="M169" s="350">
        <f>SUM(M165:M168)</f>
        <v>35.738771653814936</v>
      </c>
      <c r="N169" s="351">
        <f>SUM(N165:N168)</f>
        <v>23.222132041396108</v>
      </c>
      <c r="O169" s="300"/>
      <c r="P169" s="301"/>
      <c r="Q169" s="301"/>
      <c r="R169" s="301"/>
      <c r="S169" s="350">
        <f>SUM(S165:S168)</f>
        <v>34.763771653814935</v>
      </c>
      <c r="T169" s="351">
        <f>SUM(T165:T168)</f>
        <v>22.472132041396108</v>
      </c>
      <c r="U169" s="300"/>
      <c r="V169" s="301"/>
      <c r="W169" s="301"/>
      <c r="X169" s="301"/>
      <c r="Y169" s="350">
        <f>SUM(Y165:Y168)</f>
        <v>32.1071314935065</v>
      </c>
      <c r="Z169" s="352">
        <f>SUM(Z165:Z168)</f>
        <v>19.851639610389611</v>
      </c>
    </row>
    <row r="170" spans="1:29" ht="16.2" thickBot="1" x14ac:dyDescent="0.35">
      <c r="C170" s="543" t="s">
        <v>309</v>
      </c>
      <c r="D170" s="544"/>
      <c r="E170" s="544"/>
      <c r="F170" s="544"/>
      <c r="G170" s="544"/>
      <c r="H170" s="545"/>
      <c r="I170" s="538" t="s">
        <v>310</v>
      </c>
      <c r="J170" s="539"/>
      <c r="K170" s="539"/>
      <c r="L170" s="539"/>
      <c r="M170" s="539"/>
      <c r="N170" s="540"/>
      <c r="O170" s="538" t="s">
        <v>311</v>
      </c>
      <c r="P170" s="539"/>
      <c r="Q170" s="539"/>
      <c r="R170" s="539"/>
      <c r="S170" s="539"/>
      <c r="T170" s="540"/>
      <c r="U170" s="538" t="s">
        <v>312</v>
      </c>
      <c r="V170" s="539"/>
      <c r="W170" s="539"/>
      <c r="X170" s="539"/>
      <c r="Y170" s="539"/>
      <c r="Z170" s="540"/>
    </row>
    <row r="171" spans="1:29" ht="46.2" thickBot="1" x14ac:dyDescent="0.35">
      <c r="C171" s="313" t="s">
        <v>241</v>
      </c>
      <c r="D171" s="314" t="s">
        <v>242</v>
      </c>
      <c r="E171" s="315" t="s">
        <v>8</v>
      </c>
      <c r="F171" s="315" t="s">
        <v>9</v>
      </c>
      <c r="G171" s="316" t="s">
        <v>253</v>
      </c>
      <c r="H171" s="317" t="s">
        <v>254</v>
      </c>
      <c r="I171" s="322" t="s">
        <v>241</v>
      </c>
      <c r="J171" s="323" t="s">
        <v>242</v>
      </c>
      <c r="K171" s="324" t="s">
        <v>8</v>
      </c>
      <c r="L171" s="324" t="s">
        <v>9</v>
      </c>
      <c r="M171" s="325" t="s">
        <v>253</v>
      </c>
      <c r="N171" s="326" t="s">
        <v>254</v>
      </c>
      <c r="O171" s="327" t="s">
        <v>241</v>
      </c>
      <c r="P171" s="323" t="s">
        <v>242</v>
      </c>
      <c r="Q171" s="324" t="s">
        <v>8</v>
      </c>
      <c r="R171" s="324" t="s">
        <v>9</v>
      </c>
      <c r="S171" s="325" t="s">
        <v>253</v>
      </c>
      <c r="T171" s="326" t="s">
        <v>254</v>
      </c>
      <c r="U171" s="327" t="s">
        <v>241</v>
      </c>
      <c r="V171" s="323" t="s">
        <v>242</v>
      </c>
      <c r="W171" s="324" t="s">
        <v>8</v>
      </c>
      <c r="X171" s="324" t="s">
        <v>9</v>
      </c>
      <c r="Y171" s="325" t="s">
        <v>243</v>
      </c>
      <c r="Z171" s="326" t="s">
        <v>244</v>
      </c>
    </row>
    <row r="172" spans="1:29" x14ac:dyDescent="0.3">
      <c r="A172" s="558" t="s">
        <v>347</v>
      </c>
      <c r="B172" s="302" t="s">
        <v>292</v>
      </c>
      <c r="C172" s="318">
        <v>2</v>
      </c>
      <c r="D172" s="357">
        <v>1.2</v>
      </c>
      <c r="E172" s="319">
        <f>'Carichi unitari'!$C$10*C172*D172</f>
        <v>10.324675324675326</v>
      </c>
      <c r="F172" s="319">
        <f>C172*'Carichi unitari'!$D$10*D172</f>
        <v>4.8</v>
      </c>
      <c r="G172" s="319">
        <f>E172*$C$37+F172*$D$37</f>
        <v>20.622077922077921</v>
      </c>
      <c r="H172" s="320">
        <f>E172+F172*$F$36</f>
        <v>11.764675324675325</v>
      </c>
      <c r="I172" s="318">
        <v>2</v>
      </c>
      <c r="J172" s="357">
        <v>1.2</v>
      </c>
      <c r="K172" s="319">
        <f>'Carichi unitari'!$C$10*I172*J172</f>
        <v>10.324675324675326</v>
      </c>
      <c r="L172" s="319">
        <f>I172*'Carichi unitari'!$D$10*J172</f>
        <v>4.8</v>
      </c>
      <c r="M172" s="319">
        <f>K172*$C$37+L172*$D$37</f>
        <v>20.622077922077921</v>
      </c>
      <c r="N172" s="320">
        <f>K172+L172*$F$36</f>
        <v>11.764675324675325</v>
      </c>
      <c r="O172" s="318">
        <v>2</v>
      </c>
      <c r="P172" s="357">
        <v>1.2</v>
      </c>
      <c r="Q172" s="319">
        <f>'Carichi unitari'!$C$10*O172*P172</f>
        <v>10.324675324675326</v>
      </c>
      <c r="R172" s="319">
        <f>O172*'Carichi unitari'!$D$10*P172</f>
        <v>4.8</v>
      </c>
      <c r="S172" s="319">
        <f>Q172*$C$37+R172*$D$37</f>
        <v>20.622077922077921</v>
      </c>
      <c r="T172" s="320">
        <f>Q172+R172*$F$36</f>
        <v>11.764675324675325</v>
      </c>
      <c r="U172" s="318">
        <v>2</v>
      </c>
      <c r="V172" s="357">
        <v>1.1499999999999999</v>
      </c>
      <c r="W172" s="319">
        <f>'Carichi unitari'!$C$12*U172*V172</f>
        <v>11.412480519480519</v>
      </c>
      <c r="X172" s="319">
        <f>U172*'Carichi unitari'!$D$10*V172</f>
        <v>4.5999999999999996</v>
      </c>
      <c r="Y172" s="319">
        <f>W172*$C$37+X172*$D$37</f>
        <v>21.736224675324674</v>
      </c>
      <c r="Z172" s="320">
        <f>W172+X172*$F$36</f>
        <v>12.79248051948052</v>
      </c>
    </row>
    <row r="173" spans="1:29" x14ac:dyDescent="0.3">
      <c r="A173" s="559"/>
      <c r="B173" s="302" t="s">
        <v>293</v>
      </c>
      <c r="C173" s="299">
        <v>2.5</v>
      </c>
      <c r="D173" s="358">
        <v>1</v>
      </c>
      <c r="E173" s="9">
        <f>'Carichi unitari'!$C$10*C173*D173</f>
        <v>10.754870129870131</v>
      </c>
      <c r="F173" s="9">
        <f>C173*'Carichi unitari'!$D$10</f>
        <v>5</v>
      </c>
      <c r="G173" s="9">
        <f>E173*$C$37+F173*$D$37</f>
        <v>21.481331168831169</v>
      </c>
      <c r="H173" s="281">
        <f>E173+F173*$F$36</f>
        <v>12.254870129870131</v>
      </c>
      <c r="I173" s="299">
        <v>2.5</v>
      </c>
      <c r="J173" s="358">
        <v>1</v>
      </c>
      <c r="K173" s="9">
        <f>'Carichi unitari'!$C$10*I173*J173</f>
        <v>10.754870129870131</v>
      </c>
      <c r="L173" s="9">
        <f>I173*'Carichi unitari'!$D$10</f>
        <v>5</v>
      </c>
      <c r="M173" s="9">
        <f>K173*$C$37+L173*$D$37</f>
        <v>21.481331168831169</v>
      </c>
      <c r="N173" s="281">
        <f>K173+L173*$F$36</f>
        <v>12.254870129870131</v>
      </c>
      <c r="O173" s="299">
        <v>2.5</v>
      </c>
      <c r="P173" s="358">
        <v>1</v>
      </c>
      <c r="Q173" s="9">
        <f>'Carichi unitari'!$C$10*O173*P173</f>
        <v>10.754870129870131</v>
      </c>
      <c r="R173" s="9">
        <f>O173*'Carichi unitari'!$D$10</f>
        <v>5</v>
      </c>
      <c r="S173" s="9">
        <f>Q173*$C$37+R173*$D$37</f>
        <v>21.481331168831169</v>
      </c>
      <c r="T173" s="281">
        <f>Q173+R173*$F$36</f>
        <v>12.254870129870131</v>
      </c>
      <c r="U173" s="299">
        <v>2.5</v>
      </c>
      <c r="V173" s="358">
        <v>1</v>
      </c>
      <c r="W173" s="9">
        <f>'Carichi unitari'!$C$12*U173*V173</f>
        <v>12.404870129870131</v>
      </c>
      <c r="X173" s="9">
        <f>U173*'Carichi unitari'!$D$10</f>
        <v>5</v>
      </c>
      <c r="Y173" s="9">
        <f>W173*$C$37+X173*$D$37</f>
        <v>23.626331168831172</v>
      </c>
      <c r="Z173" s="281">
        <f>W173+X173*$F$36</f>
        <v>13.904870129870131</v>
      </c>
    </row>
    <row r="174" spans="1:29" x14ac:dyDescent="0.3">
      <c r="A174" s="560"/>
      <c r="B174" s="302" t="s">
        <v>247</v>
      </c>
      <c r="C174" s="299"/>
      <c r="D174" s="9"/>
      <c r="E174" s="9">
        <f>'Carichi unitari'!$C$17</f>
        <v>4.9890259740259744</v>
      </c>
      <c r="F174" s="9"/>
      <c r="G174" s="9">
        <f>E174*$C$37</f>
        <v>6.4857337662337669</v>
      </c>
      <c r="H174" s="281">
        <f>E174</f>
        <v>4.9890259740259744</v>
      </c>
      <c r="I174" s="299"/>
      <c r="J174" s="9"/>
      <c r="K174" s="9">
        <f>'Carichi unitari'!$C$17</f>
        <v>4.9890259740259744</v>
      </c>
      <c r="L174" s="9"/>
      <c r="M174" s="9">
        <f>K174*$C$37</f>
        <v>6.4857337662337669</v>
      </c>
      <c r="N174" s="281">
        <f>K174</f>
        <v>4.9890259740259744</v>
      </c>
      <c r="O174" s="299"/>
      <c r="P174" s="9"/>
      <c r="Q174" s="9">
        <f>'Carichi unitari'!$C$18</f>
        <v>4.2390259740259735</v>
      </c>
      <c r="R174" s="9"/>
      <c r="S174" s="9">
        <f>Q174*$C$37</f>
        <v>5.5107337662337654</v>
      </c>
      <c r="T174" s="281">
        <f>Q174</f>
        <v>4.2390259740259735</v>
      </c>
      <c r="U174" s="299"/>
      <c r="V174" s="9"/>
      <c r="W174" s="9">
        <f>'Carichi unitari'!$C$19</f>
        <v>3.4890259740259744</v>
      </c>
      <c r="X174" s="9"/>
      <c r="Y174" s="9">
        <f>W174*$C$37</f>
        <v>4.5357337662337667</v>
      </c>
      <c r="Z174" s="281">
        <f>W174</f>
        <v>3.4890259740259744</v>
      </c>
    </row>
    <row r="175" spans="1:29" ht="15.6" x14ac:dyDescent="0.3">
      <c r="A175" s="83"/>
      <c r="B175" s="339" t="s">
        <v>356</v>
      </c>
      <c r="C175" s="309">
        <f>C173+C172</f>
        <v>4.5</v>
      </c>
      <c r="D175" s="310"/>
      <c r="E175" s="310">
        <f>'Carichi unitari'!$C$11*C175</f>
        <v>5.3999999999999995</v>
      </c>
      <c r="F175" s="310"/>
      <c r="G175" s="310">
        <f>E175*$D$37</f>
        <v>8.1</v>
      </c>
      <c r="H175" s="311">
        <f>E175</f>
        <v>5.3999999999999995</v>
      </c>
      <c r="I175" s="309">
        <f>I173+I172</f>
        <v>4.5</v>
      </c>
      <c r="J175" s="310"/>
      <c r="K175" s="310">
        <f>'Carichi unitari'!$C$11*I175</f>
        <v>5.3999999999999995</v>
      </c>
      <c r="L175" s="310"/>
      <c r="M175" s="310">
        <f>K175*$D$37</f>
        <v>8.1</v>
      </c>
      <c r="N175" s="311">
        <f>K175</f>
        <v>5.3999999999999995</v>
      </c>
      <c r="O175" s="309">
        <f>O173+O172</f>
        <v>4.5</v>
      </c>
      <c r="P175" s="310"/>
      <c r="Q175" s="310">
        <f>'Carichi unitari'!$C$11*O175</f>
        <v>5.3999999999999995</v>
      </c>
      <c r="R175" s="310"/>
      <c r="S175" s="310">
        <f>Q175*$D$37</f>
        <v>8.1</v>
      </c>
      <c r="T175" s="311">
        <f>Q175</f>
        <v>5.3999999999999995</v>
      </c>
      <c r="U175" s="309"/>
      <c r="V175" s="310"/>
      <c r="W175" s="310"/>
      <c r="X175" s="310"/>
      <c r="Y175" s="310"/>
      <c r="Z175" s="311"/>
    </row>
    <row r="176" spans="1:29" ht="15" thickBot="1" x14ac:dyDescent="0.35">
      <c r="B176" s="303" t="s">
        <v>261</v>
      </c>
      <c r="C176" s="300"/>
      <c r="D176" s="301"/>
      <c r="E176" s="301"/>
      <c r="F176" s="301"/>
      <c r="G176" s="350">
        <f>SUM(G172:G175)</f>
        <v>56.689142857142855</v>
      </c>
      <c r="H176" s="350">
        <f>SUM(H172:H175)</f>
        <v>34.408571428571435</v>
      </c>
      <c r="I176" s="300"/>
      <c r="J176" s="301"/>
      <c r="K176" s="301"/>
      <c r="L176" s="301"/>
      <c r="M176" s="350">
        <f>SUM(M172:M175)</f>
        <v>56.689142857142855</v>
      </c>
      <c r="N176" s="350">
        <f>SUM(N172:N175)</f>
        <v>34.408571428571435</v>
      </c>
      <c r="O176" s="300"/>
      <c r="P176" s="301"/>
      <c r="Q176" s="301"/>
      <c r="R176" s="301"/>
      <c r="S176" s="350">
        <f>SUM(S172:S175)</f>
        <v>55.714142857142853</v>
      </c>
      <c r="T176" s="350">
        <f>SUM(T172:T175)</f>
        <v>33.658571428571435</v>
      </c>
      <c r="U176" s="300"/>
      <c r="V176" s="301"/>
      <c r="W176" s="301"/>
      <c r="X176" s="301"/>
      <c r="Y176" s="350">
        <f>SUM(Y172:Y175)</f>
        <v>49.898289610389618</v>
      </c>
      <c r="Z176" s="352">
        <f>SUM(Z172:Z175)</f>
        <v>30.186376623376628</v>
      </c>
    </row>
    <row r="177" spans="1:28" x14ac:dyDescent="0.3">
      <c r="A177" s="558" t="s">
        <v>348</v>
      </c>
      <c r="B177" s="302" t="s">
        <v>292</v>
      </c>
      <c r="C177" s="318">
        <v>2</v>
      </c>
      <c r="D177" s="357">
        <v>1.2</v>
      </c>
      <c r="E177" s="319">
        <f>'Carichi unitari'!$C$10*C177*D177</f>
        <v>10.324675324675326</v>
      </c>
      <c r="F177" s="319">
        <f>C177*'Carichi unitari'!$D$10*D177</f>
        <v>4.8</v>
      </c>
      <c r="G177" s="319">
        <f>E177*$C$37+F177*$D$37</f>
        <v>20.622077922077921</v>
      </c>
      <c r="H177" s="320">
        <f>E177+F177*$F$36</f>
        <v>11.764675324675325</v>
      </c>
      <c r="I177" s="318">
        <v>2</v>
      </c>
      <c r="J177" s="357">
        <v>1.2</v>
      </c>
      <c r="K177" s="319">
        <f>'Carichi unitari'!$C$10*I177*J177</f>
        <v>10.324675324675326</v>
      </c>
      <c r="L177" s="319">
        <f>I177*'Carichi unitari'!$D$10*J177</f>
        <v>4.8</v>
      </c>
      <c r="M177" s="319">
        <f>K177*$C$37+L177*$D$37</f>
        <v>20.622077922077921</v>
      </c>
      <c r="N177" s="320">
        <f>K177+L177*$F$36</f>
        <v>11.764675324675325</v>
      </c>
      <c r="O177" s="318">
        <v>2</v>
      </c>
      <c r="P177" s="357">
        <v>1.2</v>
      </c>
      <c r="Q177" s="319">
        <f>'Carichi unitari'!$C$10*O177*P177</f>
        <v>10.324675324675326</v>
      </c>
      <c r="R177" s="319">
        <f>O177*'Carichi unitari'!$D$10*P177</f>
        <v>4.8</v>
      </c>
      <c r="S177" s="319">
        <f>Q177*$C$37+R177*$D$37</f>
        <v>20.622077922077921</v>
      </c>
      <c r="T177" s="320">
        <f>Q177+R177*$F$36</f>
        <v>11.764675324675325</v>
      </c>
      <c r="U177" s="318">
        <v>2</v>
      </c>
      <c r="V177" s="357">
        <v>1.1499999999999999</v>
      </c>
      <c r="W177" s="319">
        <f>'Carichi unitari'!$C$12*U177*V177</f>
        <v>11.412480519480519</v>
      </c>
      <c r="X177" s="319">
        <f>U177*'Carichi unitari'!$D$10*V177</f>
        <v>4.5999999999999996</v>
      </c>
      <c r="Y177" s="319">
        <f>W177*$C$37+X177*$D$37</f>
        <v>21.736224675324674</v>
      </c>
      <c r="Z177" s="320">
        <f>W177+X177*$F$36</f>
        <v>12.79248051948052</v>
      </c>
    </row>
    <row r="178" spans="1:28" x14ac:dyDescent="0.3">
      <c r="A178" s="559"/>
      <c r="B178" s="302" t="s">
        <v>293</v>
      </c>
      <c r="C178" s="299">
        <v>2.5</v>
      </c>
      <c r="D178" s="358">
        <v>1.2</v>
      </c>
      <c r="E178" s="9">
        <f>'Carichi unitari'!$C$10*C178*D178</f>
        <v>12.905844155844157</v>
      </c>
      <c r="F178" s="9">
        <f>C178*'Carichi unitari'!$D$10*D178</f>
        <v>6</v>
      </c>
      <c r="G178" s="9">
        <f>E178*$C$37+F178*$D$37</f>
        <v>25.777597402597404</v>
      </c>
      <c r="H178" s="281">
        <f>E178+F178*$F$36</f>
        <v>14.705844155844158</v>
      </c>
      <c r="I178" s="299">
        <v>2.5</v>
      </c>
      <c r="J178" s="358">
        <v>1.2</v>
      </c>
      <c r="K178" s="9">
        <f>'Carichi unitari'!$C$10*I178*J178</f>
        <v>12.905844155844157</v>
      </c>
      <c r="L178" s="9">
        <f>I178*'Carichi unitari'!$D$10*J178</f>
        <v>6</v>
      </c>
      <c r="M178" s="9">
        <f>K178*$C$37+L178*$D$37</f>
        <v>25.777597402597404</v>
      </c>
      <c r="N178" s="281">
        <f>K178+L178*$F$36</f>
        <v>14.705844155844158</v>
      </c>
      <c r="O178" s="299">
        <v>2.5</v>
      </c>
      <c r="P178" s="358">
        <v>1.2</v>
      </c>
      <c r="Q178" s="9">
        <f>'Carichi unitari'!$C$10*O178*P178</f>
        <v>12.905844155844157</v>
      </c>
      <c r="R178" s="9">
        <f>O178*'Carichi unitari'!$D$10*P178</f>
        <v>6</v>
      </c>
      <c r="S178" s="9">
        <f>Q178*$C$37+R178*$D$37</f>
        <v>25.777597402597404</v>
      </c>
      <c r="T178" s="281">
        <f>Q178+R178*$F$36</f>
        <v>14.705844155844158</v>
      </c>
      <c r="U178" s="299">
        <v>2.5</v>
      </c>
      <c r="V178" s="358">
        <v>1.1499999999999999</v>
      </c>
      <c r="W178" s="9">
        <f>'Carichi unitari'!$C$12*U178*V178</f>
        <v>14.265600649350651</v>
      </c>
      <c r="X178" s="9">
        <f>U178*'Carichi unitari'!$D$10*V178</f>
        <v>5.75</v>
      </c>
      <c r="Y178" s="9">
        <f>W178*$C$37+X178*$D$37</f>
        <v>27.170280844155847</v>
      </c>
      <c r="Z178" s="281">
        <f>W178+X178*$F$36</f>
        <v>15.99060064935065</v>
      </c>
    </row>
    <row r="179" spans="1:28" x14ac:dyDescent="0.3">
      <c r="A179" s="560"/>
      <c r="B179" s="302" t="s">
        <v>247</v>
      </c>
      <c r="C179" s="299"/>
      <c r="D179" s="9"/>
      <c r="E179" s="9">
        <f>'Carichi unitari'!$C$17</f>
        <v>4.9890259740259744</v>
      </c>
      <c r="F179" s="9"/>
      <c r="G179" s="9">
        <f>E179*$C$37</f>
        <v>6.4857337662337669</v>
      </c>
      <c r="H179" s="281">
        <f>E179</f>
        <v>4.9890259740259744</v>
      </c>
      <c r="I179" s="299"/>
      <c r="J179" s="9"/>
      <c r="K179" s="9">
        <f>'Carichi unitari'!$C$17</f>
        <v>4.9890259740259744</v>
      </c>
      <c r="L179" s="9"/>
      <c r="M179" s="9">
        <f>K179*$C$37</f>
        <v>6.4857337662337669</v>
      </c>
      <c r="N179" s="281">
        <f>K179</f>
        <v>4.9890259740259744</v>
      </c>
      <c r="O179" s="299"/>
      <c r="P179" s="9"/>
      <c r="Q179" s="9">
        <f>'Carichi unitari'!$C$18</f>
        <v>4.2390259740259735</v>
      </c>
      <c r="R179" s="9"/>
      <c r="S179" s="9">
        <f>Q179*$C$37</f>
        <v>5.5107337662337654</v>
      </c>
      <c r="T179" s="281">
        <f>Q179</f>
        <v>4.2390259740259735</v>
      </c>
      <c r="U179" s="299"/>
      <c r="V179" s="9"/>
      <c r="W179" s="9">
        <f>'Carichi unitari'!$C$19</f>
        <v>3.4890259740259744</v>
      </c>
      <c r="X179" s="9"/>
      <c r="Y179" s="9">
        <f>W179*$C$37</f>
        <v>4.5357337662337667</v>
      </c>
      <c r="Z179" s="281">
        <f>W179</f>
        <v>3.4890259740259744</v>
      </c>
    </row>
    <row r="180" spans="1:28" ht="15.6" x14ac:dyDescent="0.3">
      <c r="A180" s="344"/>
      <c r="B180" s="339" t="s">
        <v>259</v>
      </c>
      <c r="C180" s="309">
        <f>0.8</f>
        <v>0.8</v>
      </c>
      <c r="D180" s="310"/>
      <c r="E180" s="310">
        <f>'Carichi unitari'!$C$13*C180</f>
        <v>2.4368480000000003</v>
      </c>
      <c r="F180" s="310"/>
      <c r="G180" s="310">
        <f>E180*$D$37</f>
        <v>3.6552720000000005</v>
      </c>
      <c r="H180" s="311">
        <f>E180</f>
        <v>2.4368480000000003</v>
      </c>
      <c r="I180" s="309">
        <f>0.8</f>
        <v>0.8</v>
      </c>
      <c r="J180" s="310"/>
      <c r="K180" s="310">
        <f>'Carichi unitari'!$C$13*I180</f>
        <v>2.4368480000000003</v>
      </c>
      <c r="L180" s="310"/>
      <c r="M180" s="310">
        <f>K180*$D$37</f>
        <v>3.6552720000000005</v>
      </c>
      <c r="N180" s="311">
        <f>K180</f>
        <v>2.4368480000000003</v>
      </c>
      <c r="O180" s="309">
        <f>0.8</f>
        <v>0.8</v>
      </c>
      <c r="P180" s="310"/>
      <c r="Q180" s="310">
        <f>'Carichi unitari'!$C$13*O180</f>
        <v>2.4368480000000003</v>
      </c>
      <c r="R180" s="310"/>
      <c r="S180" s="310">
        <f>Q180*$D$37</f>
        <v>3.6552720000000005</v>
      </c>
      <c r="T180" s="311">
        <f>Q180</f>
        <v>2.4368480000000003</v>
      </c>
      <c r="U180" s="309"/>
      <c r="V180" s="310"/>
      <c r="W180" s="310"/>
      <c r="X180" s="310"/>
      <c r="Y180" s="310"/>
      <c r="Z180" s="311"/>
    </row>
    <row r="181" spans="1:28" ht="15" thickBot="1" x14ac:dyDescent="0.35">
      <c r="B181" s="303" t="s">
        <v>261</v>
      </c>
      <c r="C181" s="300"/>
      <c r="D181" s="301"/>
      <c r="E181" s="301"/>
      <c r="F181" s="301"/>
      <c r="G181" s="350">
        <f>SUM(G177:G180)</f>
        <v>56.540681090909096</v>
      </c>
      <c r="H181" s="350">
        <f>SUM(H177:H180)</f>
        <v>33.896393454545461</v>
      </c>
      <c r="I181" s="300"/>
      <c r="J181" s="301"/>
      <c r="K181" s="301"/>
      <c r="L181" s="301"/>
      <c r="M181" s="350">
        <f>SUM(M177:M180)</f>
        <v>56.540681090909096</v>
      </c>
      <c r="N181" s="350">
        <f>SUM(N177:N180)</f>
        <v>33.896393454545461</v>
      </c>
      <c r="O181" s="300"/>
      <c r="P181" s="301"/>
      <c r="Q181" s="301"/>
      <c r="R181" s="301"/>
      <c r="S181" s="350">
        <f>SUM(S177:S180)</f>
        <v>55.565681090909095</v>
      </c>
      <c r="T181" s="350">
        <f>SUM(T177:T180)</f>
        <v>33.146393454545461</v>
      </c>
      <c r="U181" s="300"/>
      <c r="V181" s="301"/>
      <c r="W181" s="301"/>
      <c r="X181" s="301"/>
      <c r="Y181" s="350">
        <f>SUM(Y177:Y180)</f>
        <v>53.442239285714287</v>
      </c>
      <c r="Z181" s="352">
        <f>SUM(Z177:Z180)</f>
        <v>32.272107142857145</v>
      </c>
    </row>
    <row r="182" spans="1:28" x14ac:dyDescent="0.3">
      <c r="A182" s="558" t="s">
        <v>313</v>
      </c>
      <c r="B182" s="302" t="s">
        <v>292</v>
      </c>
      <c r="C182" s="318">
        <v>2</v>
      </c>
      <c r="D182" s="357">
        <v>1.1000000000000001</v>
      </c>
      <c r="E182" s="319">
        <f>'Carichi unitari'!$C$10*C182*D182</f>
        <v>9.4642857142857153</v>
      </c>
      <c r="F182" s="319">
        <f>C182*'Carichi unitari'!$D$10*D182</f>
        <v>4.4000000000000004</v>
      </c>
      <c r="G182" s="319">
        <f>E182*$C$37+F182*$D$37</f>
        <v>18.903571428571432</v>
      </c>
      <c r="H182" s="320">
        <f>E182+F182*$F$36</f>
        <v>10.784285714285716</v>
      </c>
      <c r="I182" s="318">
        <v>2</v>
      </c>
      <c r="J182" s="357">
        <v>1.1000000000000001</v>
      </c>
      <c r="K182" s="319">
        <f>'Carichi unitari'!$C$10*I182*J182</f>
        <v>9.4642857142857153</v>
      </c>
      <c r="L182" s="319">
        <f>I182*'Carichi unitari'!$D$10*J182</f>
        <v>4.4000000000000004</v>
      </c>
      <c r="M182" s="319">
        <f>K182*$C$37+L182*$D$37</f>
        <v>18.903571428571432</v>
      </c>
      <c r="N182" s="320">
        <f>K182+L182*$F$36</f>
        <v>10.784285714285716</v>
      </c>
      <c r="O182" s="318">
        <v>2</v>
      </c>
      <c r="P182" s="357">
        <v>1.1000000000000001</v>
      </c>
      <c r="Q182" s="319">
        <f>'Carichi unitari'!$C$10*O182*P182</f>
        <v>9.4642857142857153</v>
      </c>
      <c r="R182" s="319">
        <f>O182*'Carichi unitari'!$D$10*P182</f>
        <v>4.4000000000000004</v>
      </c>
      <c r="S182" s="319">
        <f>Q182*$C$37+R182*$D$37</f>
        <v>18.903571428571432</v>
      </c>
      <c r="T182" s="320">
        <f>Q182+R182*$F$36</f>
        <v>10.784285714285716</v>
      </c>
      <c r="U182" s="318">
        <v>2</v>
      </c>
      <c r="V182" s="357">
        <v>1.1000000000000001</v>
      </c>
      <c r="W182" s="319">
        <f>'Carichi unitari'!$C$12*U182*V182</f>
        <v>10.916285714285717</v>
      </c>
      <c r="X182" s="319">
        <f>U182*'Carichi unitari'!$D$10*V182</f>
        <v>4.4000000000000004</v>
      </c>
      <c r="Y182" s="319">
        <f>W182*$C$37+X182*$D$37</f>
        <v>20.791171428571435</v>
      </c>
      <c r="Z182" s="320">
        <f>W182+X182*$F$36</f>
        <v>12.236285714285717</v>
      </c>
      <c r="AA182" t="s">
        <v>378</v>
      </c>
      <c r="AB182" s="21">
        <f>Y186*4.7^2/10</f>
        <v>106.95750501688315</v>
      </c>
    </row>
    <row r="183" spans="1:28" x14ac:dyDescent="0.3">
      <c r="A183" s="559"/>
      <c r="B183" s="302" t="s">
        <v>293</v>
      </c>
      <c r="C183" s="299">
        <v>2.5</v>
      </c>
      <c r="D183" s="358">
        <v>1</v>
      </c>
      <c r="E183" s="9">
        <f>'Carichi unitari'!$C$10*C183*D183</f>
        <v>10.754870129870131</v>
      </c>
      <c r="F183" s="9">
        <f>C183*'Carichi unitari'!$D$10</f>
        <v>5</v>
      </c>
      <c r="G183" s="9">
        <f>E183*$C$37+F183*$D$37</f>
        <v>21.481331168831169</v>
      </c>
      <c r="H183" s="281">
        <f>E183+F183*$F$36</f>
        <v>12.254870129870131</v>
      </c>
      <c r="I183" s="299">
        <v>2.5</v>
      </c>
      <c r="J183" s="358">
        <v>1</v>
      </c>
      <c r="K183" s="9">
        <f>'Carichi unitari'!$C$10*I183*J183</f>
        <v>10.754870129870131</v>
      </c>
      <c r="L183" s="9">
        <f>I183*'Carichi unitari'!$D$10</f>
        <v>5</v>
      </c>
      <c r="M183" s="9">
        <f>K183*$C$37+L183*$D$37</f>
        <v>21.481331168831169</v>
      </c>
      <c r="N183" s="281">
        <f>K183+L183*$F$36</f>
        <v>12.254870129870131</v>
      </c>
      <c r="O183" s="299">
        <v>2.5</v>
      </c>
      <c r="P183" s="358">
        <v>1</v>
      </c>
      <c r="Q183" s="9">
        <f>'Carichi unitari'!$C$10*O183*P183</f>
        <v>10.754870129870131</v>
      </c>
      <c r="R183" s="9">
        <f>O183*'Carichi unitari'!$D$10</f>
        <v>5</v>
      </c>
      <c r="S183" s="9">
        <f>Q183*$C$37+R183*$D$37</f>
        <v>21.481331168831169</v>
      </c>
      <c r="T183" s="281">
        <f>Q183+R183*$F$36</f>
        <v>12.254870129870131</v>
      </c>
      <c r="U183" s="299">
        <v>2.5</v>
      </c>
      <c r="V183" s="358">
        <v>1</v>
      </c>
      <c r="W183" s="9">
        <f>'Carichi unitari'!$C$12*U183*V183</f>
        <v>12.404870129870131</v>
      </c>
      <c r="X183" s="9">
        <f>U183*'Carichi unitari'!$D$10</f>
        <v>5</v>
      </c>
      <c r="Y183" s="9">
        <f>W183*$C$37+X183*$D$37</f>
        <v>23.626331168831172</v>
      </c>
      <c r="Z183" s="281">
        <f>W183+X183*$F$36</f>
        <v>13.904870129870131</v>
      </c>
      <c r="AA183" t="s">
        <v>379</v>
      </c>
      <c r="AB183" s="21">
        <f>0.019^2*AB182/(0.2^2)*100</f>
        <v>96.529148277737022</v>
      </c>
    </row>
    <row r="184" spans="1:28" x14ac:dyDescent="0.3">
      <c r="A184" s="560"/>
      <c r="B184" s="302" t="s">
        <v>247</v>
      </c>
      <c r="C184" s="299"/>
      <c r="D184" s="9"/>
      <c r="E184" s="9">
        <f>'Carichi unitari'!$C$20</f>
        <v>3.0780519480519479</v>
      </c>
      <c r="F184" s="9"/>
      <c r="G184" s="9">
        <f>E184*$C$37</f>
        <v>4.0014675324675322</v>
      </c>
      <c r="H184" s="281">
        <f>E184</f>
        <v>3.0780519480519479</v>
      </c>
      <c r="I184" s="299"/>
      <c r="J184" s="9"/>
      <c r="K184" s="9">
        <f>'Carichi unitari'!$C$20</f>
        <v>3.0780519480519479</v>
      </c>
      <c r="L184" s="9"/>
      <c r="M184" s="9">
        <f>K184*$C$37</f>
        <v>4.0014675324675322</v>
      </c>
      <c r="N184" s="281">
        <f>K184</f>
        <v>3.0780519480519479</v>
      </c>
      <c r="O184" s="299"/>
      <c r="P184" s="9"/>
      <c r="Q184" s="9">
        <f>'Carichi unitari'!$C$20</f>
        <v>3.0780519480519479</v>
      </c>
      <c r="R184" s="9"/>
      <c r="S184" s="9">
        <f>Q184*$C$37</f>
        <v>4.0014675324675322</v>
      </c>
      <c r="T184" s="281">
        <f>Q184</f>
        <v>3.0780519480519479</v>
      </c>
      <c r="U184" s="299"/>
      <c r="V184" s="9"/>
      <c r="W184" s="9">
        <f>'Carichi unitari'!$C$20</f>
        <v>3.0780519480519479</v>
      </c>
      <c r="X184" s="9"/>
      <c r="Y184" s="9">
        <f>W184*$C$37</f>
        <v>4.0014675324675322</v>
      </c>
      <c r="Z184" s="281">
        <f>W184</f>
        <v>3.0780519480519479</v>
      </c>
    </row>
    <row r="185" spans="1:28" ht="15.6" x14ac:dyDescent="0.3">
      <c r="A185" s="83"/>
      <c r="B185" s="339" t="s">
        <v>356</v>
      </c>
      <c r="C185" s="309">
        <f>C183+C182</f>
        <v>4.5</v>
      </c>
      <c r="D185" s="310"/>
      <c r="E185" s="310">
        <f>'Carichi unitari'!$C$11*C185</f>
        <v>5.3999999999999995</v>
      </c>
      <c r="F185" s="310"/>
      <c r="G185" s="310">
        <f>E185*$D$37</f>
        <v>8.1</v>
      </c>
      <c r="H185" s="311">
        <f>E185</f>
        <v>5.3999999999999995</v>
      </c>
      <c r="I185" s="309">
        <f>I183+I182</f>
        <v>4.5</v>
      </c>
      <c r="J185" s="310"/>
      <c r="K185" s="310">
        <f>'Carichi unitari'!$C$11*I185</f>
        <v>5.3999999999999995</v>
      </c>
      <c r="L185" s="310"/>
      <c r="M185" s="310">
        <f>K185*$D$37</f>
        <v>8.1</v>
      </c>
      <c r="N185" s="311">
        <f>K185</f>
        <v>5.3999999999999995</v>
      </c>
      <c r="O185" s="309">
        <f>O183+O182</f>
        <v>4.5</v>
      </c>
      <c r="P185" s="310"/>
      <c r="Q185" s="310">
        <f>'Carichi unitari'!$C$11*O185</f>
        <v>5.3999999999999995</v>
      </c>
      <c r="R185" s="310"/>
      <c r="S185" s="310">
        <f>Q185*$D$37</f>
        <v>8.1</v>
      </c>
      <c r="T185" s="311">
        <f>Q185</f>
        <v>5.3999999999999995</v>
      </c>
      <c r="U185" s="309"/>
      <c r="V185" s="310"/>
      <c r="W185" s="310"/>
      <c r="X185" s="310"/>
      <c r="Y185" s="310"/>
      <c r="Z185" s="311"/>
    </row>
    <row r="186" spans="1:28" ht="15" thickBot="1" x14ac:dyDescent="0.35">
      <c r="B186" s="303" t="s">
        <v>261</v>
      </c>
      <c r="C186" s="300"/>
      <c r="D186" s="301"/>
      <c r="E186" s="301"/>
      <c r="F186" s="301"/>
      <c r="G186" s="350">
        <f>SUM(G182:G184)</f>
        <v>44.38637012987013</v>
      </c>
      <c r="H186" s="350">
        <f>SUM(H182:H184)</f>
        <v>26.117207792207793</v>
      </c>
      <c r="I186" s="300"/>
      <c r="J186" s="301"/>
      <c r="K186" s="301"/>
      <c r="L186" s="301"/>
      <c r="M186" s="350">
        <f>SUM(M182:M184)</f>
        <v>44.38637012987013</v>
      </c>
      <c r="N186" s="350">
        <f>SUM(N182:N184)</f>
        <v>26.117207792207793</v>
      </c>
      <c r="O186" s="300"/>
      <c r="P186" s="301"/>
      <c r="Q186" s="301"/>
      <c r="R186" s="301"/>
      <c r="S186" s="350">
        <f>SUM(S182:S184)</f>
        <v>44.38637012987013</v>
      </c>
      <c r="T186" s="350">
        <f>SUM(T182:T184)</f>
        <v>26.117207792207793</v>
      </c>
      <c r="U186" s="300"/>
      <c r="V186" s="301"/>
      <c r="W186" s="301"/>
      <c r="X186" s="301"/>
      <c r="Y186" s="350">
        <f>SUM(Y182:Y184)</f>
        <v>48.418970129870132</v>
      </c>
      <c r="Z186" s="352">
        <f>SUM(Z182:Z184)</f>
        <v>29.219207792207794</v>
      </c>
    </row>
    <row r="187" spans="1:28" ht="16.2" thickBot="1" x14ac:dyDescent="0.35">
      <c r="C187" s="543" t="s">
        <v>314</v>
      </c>
      <c r="D187" s="544"/>
      <c r="E187" s="544"/>
      <c r="F187" s="544"/>
      <c r="G187" s="544"/>
      <c r="H187" s="545"/>
      <c r="I187" s="538" t="s">
        <v>315</v>
      </c>
      <c r="J187" s="539"/>
      <c r="K187" s="539"/>
      <c r="L187" s="539"/>
      <c r="M187" s="539"/>
      <c r="N187" s="540"/>
      <c r="O187" s="538" t="s">
        <v>316</v>
      </c>
      <c r="P187" s="539"/>
      <c r="Q187" s="539"/>
      <c r="R187" s="539"/>
      <c r="S187" s="539"/>
      <c r="T187" s="540"/>
      <c r="U187" s="538" t="s">
        <v>317</v>
      </c>
      <c r="V187" s="539"/>
      <c r="W187" s="539"/>
      <c r="X187" s="539"/>
      <c r="Y187" s="539"/>
      <c r="Z187" s="540"/>
    </row>
    <row r="188" spans="1:28" ht="46.2" thickBot="1" x14ac:dyDescent="0.35">
      <c r="C188" s="313" t="s">
        <v>241</v>
      </c>
      <c r="D188" s="314" t="s">
        <v>242</v>
      </c>
      <c r="E188" s="315" t="s">
        <v>8</v>
      </c>
      <c r="F188" s="315" t="s">
        <v>9</v>
      </c>
      <c r="G188" s="316" t="s">
        <v>253</v>
      </c>
      <c r="H188" s="317" t="s">
        <v>254</v>
      </c>
      <c r="I188" s="322" t="s">
        <v>241</v>
      </c>
      <c r="J188" s="323" t="s">
        <v>242</v>
      </c>
      <c r="K188" s="324" t="s">
        <v>8</v>
      </c>
      <c r="L188" s="324" t="s">
        <v>9</v>
      </c>
      <c r="M188" s="325" t="s">
        <v>253</v>
      </c>
      <c r="N188" s="326" t="s">
        <v>254</v>
      </c>
      <c r="O188" s="327" t="s">
        <v>241</v>
      </c>
      <c r="P188" s="323" t="s">
        <v>242</v>
      </c>
      <c r="Q188" s="324" t="s">
        <v>8</v>
      </c>
      <c r="R188" s="324" t="s">
        <v>9</v>
      </c>
      <c r="S188" s="325" t="s">
        <v>253</v>
      </c>
      <c r="T188" s="326" t="s">
        <v>254</v>
      </c>
      <c r="U188" s="327" t="s">
        <v>241</v>
      </c>
      <c r="V188" s="323" t="s">
        <v>242</v>
      </c>
      <c r="W188" s="324" t="s">
        <v>8</v>
      </c>
      <c r="X188" s="324" t="s">
        <v>9</v>
      </c>
      <c r="Y188" s="325" t="s">
        <v>243</v>
      </c>
      <c r="Z188" s="326" t="s">
        <v>244</v>
      </c>
    </row>
    <row r="189" spans="1:28" x14ac:dyDescent="0.3">
      <c r="A189" s="501" t="s">
        <v>328</v>
      </c>
      <c r="B189" s="302" t="s">
        <v>42</v>
      </c>
      <c r="C189" s="318">
        <v>2</v>
      </c>
      <c r="D189" s="319">
        <v>1</v>
      </c>
      <c r="E189" s="319">
        <f>'Carichi unitari'!$C$10*C189</f>
        <v>8.6038961038961048</v>
      </c>
      <c r="F189" s="319">
        <f>C189*'Carichi unitari'!$D$10</f>
        <v>4</v>
      </c>
      <c r="G189" s="319">
        <f>E189*$C$37+F189*$D$37</f>
        <v>17.185064935064936</v>
      </c>
      <c r="H189" s="321">
        <f>E189+F189*$F$36</f>
        <v>9.8038961038961041</v>
      </c>
      <c r="I189" s="318">
        <v>2</v>
      </c>
      <c r="J189" s="319">
        <v>1</v>
      </c>
      <c r="K189" s="319">
        <f>'Carichi unitari'!$C$10*I189</f>
        <v>8.6038961038961048</v>
      </c>
      <c r="L189" s="319">
        <f>I189*'Carichi unitari'!$D$10</f>
        <v>4</v>
      </c>
      <c r="M189" s="319">
        <f>K189*$C$37+L189*$D$37</f>
        <v>17.185064935064936</v>
      </c>
      <c r="N189" s="321">
        <f>K189+L189*$F$36</f>
        <v>9.8038961038961041</v>
      </c>
      <c r="O189" s="318">
        <v>2</v>
      </c>
      <c r="P189" s="319">
        <v>1</v>
      </c>
      <c r="Q189" s="319">
        <f>'Carichi unitari'!$C$10*O189</f>
        <v>8.6038961038961048</v>
      </c>
      <c r="R189" s="319">
        <f>O189*'Carichi unitari'!$D$10</f>
        <v>4</v>
      </c>
      <c r="S189" s="319">
        <f>Q189*$C$37+R189*$D$37</f>
        <v>17.185064935064936</v>
      </c>
      <c r="T189" s="321">
        <f>Q189+R189*$F$36</f>
        <v>9.8038961038961041</v>
      </c>
      <c r="U189" s="318">
        <v>2</v>
      </c>
      <c r="V189" s="319">
        <v>1.05</v>
      </c>
      <c r="W189" s="319">
        <f>'Carichi unitari'!$C$12*U189*V189</f>
        <v>10.420090909090911</v>
      </c>
      <c r="X189" s="319">
        <f>U189*'Carichi unitari'!$D$10</f>
        <v>4</v>
      </c>
      <c r="Y189" s="319">
        <f>W189*$C$37+X189*$D$37</f>
        <v>19.546118181818187</v>
      </c>
      <c r="Z189" s="320">
        <f>W189+X189*$F$36</f>
        <v>11.62009090909091</v>
      </c>
    </row>
    <row r="190" spans="1:28" x14ac:dyDescent="0.3">
      <c r="A190" s="553"/>
      <c r="B190" s="302" t="s">
        <v>247</v>
      </c>
      <c r="C190" s="299"/>
      <c r="D190" s="9"/>
      <c r="E190" s="9">
        <f>'Carichi unitari'!$C$17</f>
        <v>4.9890259740259744</v>
      </c>
      <c r="F190" s="9"/>
      <c r="G190" s="9">
        <f>E190*$C$37</f>
        <v>6.4857337662337669</v>
      </c>
      <c r="H190" s="282">
        <f>E190</f>
        <v>4.9890259740259744</v>
      </c>
      <c r="I190" s="299"/>
      <c r="J190" s="9"/>
      <c r="K190" s="9">
        <f>'Carichi unitari'!$C$17</f>
        <v>4.9890259740259744</v>
      </c>
      <c r="L190" s="9"/>
      <c r="M190" s="9">
        <f>K190*$C$37</f>
        <v>6.4857337662337669</v>
      </c>
      <c r="N190" s="282">
        <f>K190</f>
        <v>4.9890259740259744</v>
      </c>
      <c r="O190" s="299"/>
      <c r="P190" s="9"/>
      <c r="Q190" s="9">
        <f>'Carichi unitari'!$C$18</f>
        <v>4.2390259740259735</v>
      </c>
      <c r="R190" s="9"/>
      <c r="S190" s="9">
        <f>Q190*$C$37</f>
        <v>5.5107337662337654</v>
      </c>
      <c r="T190" s="282">
        <f>Q190</f>
        <v>4.2390259740259735</v>
      </c>
      <c r="U190" s="299"/>
      <c r="V190" s="9"/>
      <c r="W190" s="9">
        <f>'Carichi unitari'!$C$19</f>
        <v>3.4890259740259744</v>
      </c>
      <c r="X190" s="9"/>
      <c r="Y190" s="9">
        <f>W190*$C$37</f>
        <v>4.5357337662337667</v>
      </c>
      <c r="Z190" s="281">
        <f>W190</f>
        <v>3.4890259740259744</v>
      </c>
    </row>
    <row r="191" spans="1:28" x14ac:dyDescent="0.3">
      <c r="A191" s="331"/>
      <c r="B191" s="302" t="s">
        <v>45</v>
      </c>
      <c r="C191" s="299"/>
      <c r="D191" s="9"/>
      <c r="E191" s="9"/>
      <c r="F191" s="9"/>
      <c r="G191" s="9"/>
      <c r="H191" s="282"/>
      <c r="I191" s="299"/>
      <c r="J191" s="9"/>
      <c r="K191" s="9"/>
      <c r="L191" s="9"/>
      <c r="M191" s="9"/>
      <c r="N191" s="282"/>
      <c r="O191" s="299"/>
      <c r="P191" s="9"/>
      <c r="Q191" s="9"/>
      <c r="R191" s="9"/>
      <c r="S191" s="9"/>
      <c r="T191" s="282"/>
      <c r="U191" s="299">
        <f>0.5</f>
        <v>0.5</v>
      </c>
      <c r="V191" s="9">
        <v>1.1000000000000001</v>
      </c>
      <c r="W191" s="329">
        <f>'Carichi unitari'!$C$15*U191*V191</f>
        <v>1.9250000000000003</v>
      </c>
      <c r="X191" s="329">
        <f>'Carichi unitari'!$D$15</f>
        <v>0.5</v>
      </c>
      <c r="Y191" s="329">
        <f>W191*$C$37+X191*$D$37</f>
        <v>3.2525000000000004</v>
      </c>
      <c r="Z191" s="334">
        <f>W191</f>
        <v>1.9250000000000003</v>
      </c>
    </row>
    <row r="192" spans="1:28" x14ac:dyDescent="0.3">
      <c r="B192" s="303" t="s">
        <v>44</v>
      </c>
      <c r="C192" s="299">
        <v>0.9</v>
      </c>
      <c r="D192" s="9"/>
      <c r="E192" s="9">
        <f>C192*'Carichi unitari'!$C$22</f>
        <v>5.3804123437500007</v>
      </c>
      <c r="F192" s="9"/>
      <c r="G192" s="9">
        <f>E192*$C$37</f>
        <v>6.9945360468750009</v>
      </c>
      <c r="H192" s="282">
        <f>E192</f>
        <v>5.3804123437500007</v>
      </c>
      <c r="I192" s="299">
        <v>0.9</v>
      </c>
      <c r="J192" s="9"/>
      <c r="K192" s="9">
        <f>I192*'Carichi unitari'!$C$22</f>
        <v>5.3804123437500007</v>
      </c>
      <c r="L192" s="9"/>
      <c r="M192" s="9">
        <f>K192*$C$37</f>
        <v>6.9945360468750009</v>
      </c>
      <c r="N192" s="282">
        <f>K192</f>
        <v>5.3804123437500007</v>
      </c>
      <c r="O192" s="299">
        <v>0.9</v>
      </c>
      <c r="P192" s="9"/>
      <c r="Q192" s="9">
        <f>O192*'Carichi unitari'!$C$22</f>
        <v>5.3804123437500007</v>
      </c>
      <c r="R192" s="9"/>
      <c r="S192" s="9">
        <f>Q192*$C$37</f>
        <v>6.9945360468750009</v>
      </c>
      <c r="T192" s="282">
        <f>Q192</f>
        <v>5.3804123437500007</v>
      </c>
      <c r="U192" s="299"/>
      <c r="V192" s="9"/>
      <c r="W192" s="9"/>
      <c r="X192" s="9"/>
      <c r="Y192" s="9"/>
      <c r="Z192" s="281"/>
    </row>
    <row r="193" spans="1:26" ht="15" thickBot="1" x14ac:dyDescent="0.35">
      <c r="B193" s="303" t="s">
        <v>261</v>
      </c>
      <c r="C193" s="300"/>
      <c r="D193" s="301"/>
      <c r="E193" s="301"/>
      <c r="F193" s="301"/>
      <c r="G193" s="350">
        <f>SUM(G189:G192)</f>
        <v>30.665334748173706</v>
      </c>
      <c r="H193" s="351">
        <f>SUM(H189:H192)</f>
        <v>20.173334421672081</v>
      </c>
      <c r="I193" s="300"/>
      <c r="J193" s="301"/>
      <c r="K193" s="301"/>
      <c r="L193" s="301"/>
      <c r="M193" s="350">
        <f>SUM(M189:M192)</f>
        <v>30.665334748173706</v>
      </c>
      <c r="N193" s="351">
        <f>SUM(N189:N192)</f>
        <v>20.173334421672081</v>
      </c>
      <c r="O193" s="300"/>
      <c r="P193" s="301"/>
      <c r="Q193" s="301"/>
      <c r="R193" s="301"/>
      <c r="S193" s="350">
        <f>SUM(S189:S192)</f>
        <v>29.690334748173704</v>
      </c>
      <c r="T193" s="351">
        <f>SUM(T189:T192)</f>
        <v>19.423334421672081</v>
      </c>
      <c r="U193" s="300"/>
      <c r="V193" s="301"/>
      <c r="W193" s="301"/>
      <c r="X193" s="301"/>
      <c r="Y193" s="350">
        <f>SUM(Y189:Y192)</f>
        <v>27.334351948051957</v>
      </c>
      <c r="Z193" s="352">
        <f>SUM(Z189:Z192)</f>
        <v>17.034116883116884</v>
      </c>
    </row>
    <row r="194" spans="1:26" x14ac:dyDescent="0.3">
      <c r="A194" s="499" t="s">
        <v>329</v>
      </c>
      <c r="B194" s="302" t="s">
        <v>42</v>
      </c>
      <c r="C194" s="318">
        <v>2</v>
      </c>
      <c r="D194" s="319">
        <v>1.1000000000000001</v>
      </c>
      <c r="E194" s="319">
        <f>'Carichi unitari'!$C$10*C194*D194</f>
        <v>9.4642857142857153</v>
      </c>
      <c r="F194" s="319">
        <f>C194*'Carichi unitari'!$D$10*D194</f>
        <v>4.4000000000000004</v>
      </c>
      <c r="G194" s="319">
        <f>E194*$C$37+F194*$D$37</f>
        <v>18.903571428571432</v>
      </c>
      <c r="H194" s="321">
        <f>E194+F194*$F$36</f>
        <v>10.784285714285716</v>
      </c>
      <c r="I194" s="318">
        <v>2</v>
      </c>
      <c r="J194" s="319">
        <v>1.1000000000000001</v>
      </c>
      <c r="K194" s="319">
        <f>'Carichi unitari'!$C$10*I194*J194</f>
        <v>9.4642857142857153</v>
      </c>
      <c r="L194" s="319">
        <f>I194*'Carichi unitari'!$D$10*J194</f>
        <v>4.4000000000000004</v>
      </c>
      <c r="M194" s="319">
        <f>K194*$C$37+L194*$D$37</f>
        <v>18.903571428571432</v>
      </c>
      <c r="N194" s="321">
        <f>K194+L194*$F$36</f>
        <v>10.784285714285716</v>
      </c>
      <c r="O194" s="318">
        <v>2</v>
      </c>
      <c r="P194" s="319">
        <v>1.1000000000000001</v>
      </c>
      <c r="Q194" s="319">
        <f>'Carichi unitari'!$C$10*O194*P194</f>
        <v>9.4642857142857153</v>
      </c>
      <c r="R194" s="319">
        <f>O194*'Carichi unitari'!$D$10*P194</f>
        <v>4.4000000000000004</v>
      </c>
      <c r="S194" s="319">
        <f>Q194*$C$37+R194*$D$37</f>
        <v>18.903571428571432</v>
      </c>
      <c r="T194" s="321">
        <f>Q194+R194*$F$36</f>
        <v>10.784285714285716</v>
      </c>
      <c r="U194" s="318">
        <v>2</v>
      </c>
      <c r="V194" s="319">
        <v>1.1000000000000001</v>
      </c>
      <c r="W194" s="319">
        <f>'Carichi unitari'!$C$10*U194*V194</f>
        <v>9.4642857142857153</v>
      </c>
      <c r="X194" s="319">
        <f>U194*'Carichi unitari'!$D$10*V194</f>
        <v>4.4000000000000004</v>
      </c>
      <c r="Y194" s="319">
        <f>W194*$C$37+X194*$D$37</f>
        <v>18.903571428571432</v>
      </c>
      <c r="Z194" s="321">
        <f>W194+X194*$F$36</f>
        <v>10.784285714285716</v>
      </c>
    </row>
    <row r="195" spans="1:26" x14ac:dyDescent="0.3">
      <c r="A195" s="557"/>
      <c r="B195" s="302" t="s">
        <v>247</v>
      </c>
      <c r="C195" s="299"/>
      <c r="D195" s="9"/>
      <c r="E195" s="9">
        <f>'Carichi unitari'!$C$17</f>
        <v>4.9890259740259744</v>
      </c>
      <c r="F195" s="9"/>
      <c r="G195" s="9">
        <f>E195*$C$37</f>
        <v>6.4857337662337669</v>
      </c>
      <c r="H195" s="282">
        <f>E195</f>
        <v>4.9890259740259744</v>
      </c>
      <c r="I195" s="299"/>
      <c r="J195" s="9"/>
      <c r="K195" s="9">
        <f>'Carichi unitari'!$C$17</f>
        <v>4.9890259740259744</v>
      </c>
      <c r="L195" s="9"/>
      <c r="M195" s="9">
        <f>K195*$C$37</f>
        <v>6.4857337662337669</v>
      </c>
      <c r="N195" s="282">
        <f>K195</f>
        <v>4.9890259740259744</v>
      </c>
      <c r="O195" s="299"/>
      <c r="P195" s="9"/>
      <c r="Q195" s="9">
        <f>'Carichi unitari'!$C$18</f>
        <v>4.2390259740259735</v>
      </c>
      <c r="R195" s="9"/>
      <c r="S195" s="9">
        <f>Q195*$C$37</f>
        <v>5.5107337662337654</v>
      </c>
      <c r="T195" s="282">
        <f>Q195</f>
        <v>4.2390259740259735</v>
      </c>
      <c r="U195" s="299"/>
      <c r="V195" s="9"/>
      <c r="W195" s="9">
        <f>'Carichi unitari'!$C$19</f>
        <v>3.4890259740259744</v>
      </c>
      <c r="X195" s="9"/>
      <c r="Y195" s="9">
        <f>W195*$C$37</f>
        <v>4.5357337662337667</v>
      </c>
      <c r="Z195" s="281">
        <f>W195</f>
        <v>3.4890259740259744</v>
      </c>
    </row>
    <row r="196" spans="1:26" ht="14.4" customHeight="1" x14ac:dyDescent="0.3">
      <c r="B196" s="302" t="s">
        <v>45</v>
      </c>
      <c r="C196" s="299"/>
      <c r="D196" s="9"/>
      <c r="E196" s="9"/>
      <c r="F196" s="9"/>
      <c r="G196" s="9"/>
      <c r="H196" s="282"/>
      <c r="I196" s="299">
        <v>1.5</v>
      </c>
      <c r="J196" s="9">
        <v>1.2</v>
      </c>
      <c r="K196" s="9">
        <f>'Carichi unitari'!$C$14*I196*J196</f>
        <v>7.0750413223140498</v>
      </c>
      <c r="L196" s="9">
        <f>'Carichi unitari'!$D$14*I196*J196</f>
        <v>7.1999999999999993</v>
      </c>
      <c r="M196" s="9">
        <f>K196*$C$37+L196*$D$37</f>
        <v>19.997553719008266</v>
      </c>
      <c r="N196" s="282">
        <f>K196+L196*$G$36</f>
        <v>11.39504132231405</v>
      </c>
      <c r="O196" s="299">
        <v>1.5</v>
      </c>
      <c r="P196" s="9">
        <v>1.2</v>
      </c>
      <c r="Q196" s="9">
        <f>'Carichi unitari'!$C$14*O196*P196</f>
        <v>7.0750413223140498</v>
      </c>
      <c r="R196" s="9">
        <f>'Carichi unitari'!$D$14*O196*P196</f>
        <v>7.1999999999999993</v>
      </c>
      <c r="S196" s="9">
        <f>Q196*$C$37+R196*$D$37</f>
        <v>19.997553719008266</v>
      </c>
      <c r="T196" s="282">
        <f>Q196+R196*$G$36</f>
        <v>11.39504132231405</v>
      </c>
      <c r="U196" s="299">
        <f>0.5</f>
        <v>0.5</v>
      </c>
      <c r="V196" s="9">
        <v>1.1000000000000001</v>
      </c>
      <c r="W196" s="329">
        <f>'Carichi unitari'!$C$15*U196*V196</f>
        <v>1.9250000000000003</v>
      </c>
      <c r="X196" s="329">
        <f>'Carichi unitari'!$D$15</f>
        <v>0.5</v>
      </c>
      <c r="Y196" s="329">
        <f>W196*$C$37+X196*$D$37</f>
        <v>3.2525000000000004</v>
      </c>
      <c r="Z196" s="334">
        <f>W196</f>
        <v>1.9250000000000003</v>
      </c>
    </row>
    <row r="197" spans="1:26" ht="14.4" customHeight="1" x14ac:dyDescent="0.3">
      <c r="B197" s="303" t="s">
        <v>44</v>
      </c>
      <c r="C197" s="299">
        <v>0.9</v>
      </c>
      <c r="D197" s="9"/>
      <c r="E197" s="9">
        <f>C197*'Carichi unitari'!$C$22</f>
        <v>5.3804123437500007</v>
      </c>
      <c r="F197" s="9"/>
      <c r="G197" s="9">
        <f>E197*$C$37</f>
        <v>6.9945360468750009</v>
      </c>
      <c r="H197" s="282">
        <f>E197</f>
        <v>5.3804123437500007</v>
      </c>
      <c r="I197" s="299">
        <v>0.8</v>
      </c>
      <c r="J197" s="9"/>
      <c r="K197" s="9">
        <f>I197*'Carichi unitari'!$C$22</f>
        <v>4.7825887500000013</v>
      </c>
      <c r="L197" s="9"/>
      <c r="M197" s="9">
        <f>K197*$C$37</f>
        <v>6.2173653750000017</v>
      </c>
      <c r="N197" s="282">
        <f>K197</f>
        <v>4.7825887500000013</v>
      </c>
      <c r="O197" s="299">
        <v>0.8</v>
      </c>
      <c r="P197" s="9"/>
      <c r="Q197" s="9">
        <f>O197*'Carichi unitari'!$C$22</f>
        <v>4.7825887500000013</v>
      </c>
      <c r="R197" s="9"/>
      <c r="S197" s="9">
        <f>Q197*$C$37</f>
        <v>6.2173653750000017</v>
      </c>
      <c r="T197" s="282">
        <f>Q197</f>
        <v>4.7825887500000013</v>
      </c>
      <c r="U197" s="333"/>
      <c r="V197" s="329"/>
      <c r="W197" s="329"/>
      <c r="X197" s="329"/>
      <c r="Y197" s="329"/>
      <c r="Z197" s="334"/>
    </row>
    <row r="198" spans="1:26" ht="15" customHeight="1" thickBot="1" x14ac:dyDescent="0.35">
      <c r="B198" s="303" t="s">
        <v>261</v>
      </c>
      <c r="C198" s="300"/>
      <c r="D198" s="301"/>
      <c r="E198" s="301"/>
      <c r="F198" s="301"/>
      <c r="G198" s="350">
        <f>SUM(G194:G197)</f>
        <v>32.383841241680202</v>
      </c>
      <c r="H198" s="351">
        <f>SUM(H194:H197)</f>
        <v>21.153724032061689</v>
      </c>
      <c r="I198" s="300"/>
      <c r="J198" s="301"/>
      <c r="K198" s="301"/>
      <c r="L198" s="301"/>
      <c r="M198" s="350">
        <f>SUM(M194:M197)</f>
        <v>51.604224288813469</v>
      </c>
      <c r="N198" s="351">
        <f>SUM(N194:N197)</f>
        <v>31.950941760625742</v>
      </c>
      <c r="O198" s="300"/>
      <c r="P198" s="301"/>
      <c r="Q198" s="301"/>
      <c r="R198" s="301"/>
      <c r="S198" s="350">
        <f>SUM(S194:S197)</f>
        <v>50.629224288813461</v>
      </c>
      <c r="T198" s="351">
        <f>SUM(T194:T197)</f>
        <v>31.200941760625742</v>
      </c>
      <c r="U198" s="300"/>
      <c r="V198" s="301"/>
      <c r="W198" s="301"/>
      <c r="X198" s="301"/>
      <c r="Y198" s="350">
        <f>SUM(Y194:Y197)</f>
        <v>26.691805194805202</v>
      </c>
      <c r="Z198" s="352">
        <f>SUM(Z194:Z197)</f>
        <v>16.198311688311691</v>
      </c>
    </row>
    <row r="199" spans="1:26" ht="14.4" customHeight="1" x14ac:dyDescent="0.3"/>
    <row r="200" spans="1:26" ht="14.4" customHeight="1" x14ac:dyDescent="0.3"/>
  </sheetData>
  <mergeCells count="114">
    <mergeCell ref="R28:R29"/>
    <mergeCell ref="Q28:Q29"/>
    <mergeCell ref="S28:S29"/>
    <mergeCell ref="T28:T29"/>
    <mergeCell ref="U28:U29"/>
    <mergeCell ref="C28:D28"/>
    <mergeCell ref="C29:D29"/>
    <mergeCell ref="C30:D30"/>
    <mergeCell ref="C31:D31"/>
    <mergeCell ref="C32:D32"/>
    <mergeCell ref="C22:D22"/>
    <mergeCell ref="C23:D23"/>
    <mergeCell ref="C24:D24"/>
    <mergeCell ref="C25:D25"/>
    <mergeCell ref="C26:D26"/>
    <mergeCell ref="C27:D27"/>
    <mergeCell ref="C19:D19"/>
    <mergeCell ref="C20:D20"/>
    <mergeCell ref="C21:D21"/>
    <mergeCell ref="C14:D14"/>
    <mergeCell ref="C15:D15"/>
    <mergeCell ref="C16:D16"/>
    <mergeCell ref="C17:D17"/>
    <mergeCell ref="C18:D18"/>
    <mergeCell ref="C9:D9"/>
    <mergeCell ref="C10:D10"/>
    <mergeCell ref="C11:D11"/>
    <mergeCell ref="C12:D12"/>
    <mergeCell ref="C13:D13"/>
    <mergeCell ref="C4:D4"/>
    <mergeCell ref="C5:D5"/>
    <mergeCell ref="C6:D6"/>
    <mergeCell ref="C7:D7"/>
    <mergeCell ref="C8:D8"/>
    <mergeCell ref="O2:P2"/>
    <mergeCell ref="E2:F2"/>
    <mergeCell ref="G2:H2"/>
    <mergeCell ref="I2:J2"/>
    <mergeCell ref="K2:L2"/>
    <mergeCell ref="M2:N2"/>
    <mergeCell ref="U187:Z187"/>
    <mergeCell ref="A189:A190"/>
    <mergeCell ref="A194:A195"/>
    <mergeCell ref="A172:A174"/>
    <mergeCell ref="A182:A184"/>
    <mergeCell ref="C187:H187"/>
    <mergeCell ref="I187:N187"/>
    <mergeCell ref="O187:T187"/>
    <mergeCell ref="A177:A179"/>
    <mergeCell ref="C170:H170"/>
    <mergeCell ref="I170:N170"/>
    <mergeCell ref="O170:T170"/>
    <mergeCell ref="U170:Z170"/>
    <mergeCell ref="A160:A161"/>
    <mergeCell ref="A165:A166"/>
    <mergeCell ref="C153:H153"/>
    <mergeCell ref="I153:N153"/>
    <mergeCell ref="O153:T153"/>
    <mergeCell ref="U153:Z153"/>
    <mergeCell ref="A155:A157"/>
    <mergeCell ref="A143:A145"/>
    <mergeCell ref="A148:A149"/>
    <mergeCell ref="A131:A133"/>
    <mergeCell ref="C136:H136"/>
    <mergeCell ref="I136:N136"/>
    <mergeCell ref="O136:T136"/>
    <mergeCell ref="U136:Z136"/>
    <mergeCell ref="A138:A139"/>
    <mergeCell ref="C119:H119"/>
    <mergeCell ref="I119:N119"/>
    <mergeCell ref="O119:T119"/>
    <mergeCell ref="U119:Z119"/>
    <mergeCell ref="A121:A123"/>
    <mergeCell ref="A126:A128"/>
    <mergeCell ref="A80:A83"/>
    <mergeCell ref="O40:T40"/>
    <mergeCell ref="U40:Z40"/>
    <mergeCell ref="O47:T47"/>
    <mergeCell ref="U47:Z47"/>
    <mergeCell ref="C40:H40"/>
    <mergeCell ref="I40:N40"/>
    <mergeCell ref="A58:A59"/>
    <mergeCell ref="C63:H63"/>
    <mergeCell ref="I63:N63"/>
    <mergeCell ref="C47:H47"/>
    <mergeCell ref="I47:N47"/>
    <mergeCell ref="A49:A50"/>
    <mergeCell ref="O63:T63"/>
    <mergeCell ref="U63:Z63"/>
    <mergeCell ref="A65:A66"/>
    <mergeCell ref="C35:D35"/>
    <mergeCell ref="A114:A115"/>
    <mergeCell ref="O78:T78"/>
    <mergeCell ref="U78:Z78"/>
    <mergeCell ref="A85:A86"/>
    <mergeCell ref="A89:A90"/>
    <mergeCell ref="U107:Z107"/>
    <mergeCell ref="A93:A94"/>
    <mergeCell ref="C97:H97"/>
    <mergeCell ref="I97:N97"/>
    <mergeCell ref="O97:T97"/>
    <mergeCell ref="U97:Z97"/>
    <mergeCell ref="A99:A103"/>
    <mergeCell ref="A109:A110"/>
    <mergeCell ref="C107:H107"/>
    <mergeCell ref="I107:N107"/>
    <mergeCell ref="O107:T107"/>
    <mergeCell ref="A69:A70"/>
    <mergeCell ref="C78:H78"/>
    <mergeCell ref="I78:N78"/>
    <mergeCell ref="A53:A54"/>
    <mergeCell ref="A42:A43"/>
    <mergeCell ref="E39:F39"/>
    <mergeCell ref="A74:A77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X178"/>
  <sheetViews>
    <sheetView topLeftCell="A70" zoomScale="90" zoomScaleNormal="90" workbookViewId="0">
      <selection activeCell="G35" sqref="G35"/>
    </sheetView>
  </sheetViews>
  <sheetFormatPr defaultRowHeight="14.4" x14ac:dyDescent="0.3"/>
  <cols>
    <col min="1" max="1" width="2.33203125" customWidth="1"/>
    <col min="2" max="2" width="13.88671875" customWidth="1"/>
    <col min="3" max="50" width="8.77734375" customWidth="1"/>
  </cols>
  <sheetData>
    <row r="1" spans="3:16" ht="15" thickBot="1" x14ac:dyDescent="0.35"/>
    <row r="2" spans="3:16" x14ac:dyDescent="0.3">
      <c r="E2" s="571" t="s">
        <v>395</v>
      </c>
      <c r="F2" s="572"/>
      <c r="G2" s="571" t="s">
        <v>396</v>
      </c>
      <c r="H2" s="572"/>
      <c r="I2" s="571" t="s">
        <v>397</v>
      </c>
      <c r="J2" s="572"/>
      <c r="K2" s="571" t="s">
        <v>398</v>
      </c>
      <c r="L2" s="572"/>
      <c r="M2" s="571" t="s">
        <v>399</v>
      </c>
      <c r="N2" s="572"/>
      <c r="O2" s="571" t="s">
        <v>400</v>
      </c>
      <c r="P2" s="572"/>
    </row>
    <row r="3" spans="3:16" x14ac:dyDescent="0.3">
      <c r="C3" s="604" t="s">
        <v>393</v>
      </c>
      <c r="D3" s="605"/>
      <c r="E3" s="427">
        <f>I36</f>
        <v>156.58053034699677</v>
      </c>
      <c r="F3" s="428">
        <f>J36</f>
        <v>109.7734848823052</v>
      </c>
      <c r="G3" s="429">
        <f>Q36</f>
        <v>201.46743338713844</v>
      </c>
      <c r="H3" s="417">
        <f>R36</f>
        <v>134.92687183626035</v>
      </c>
      <c r="I3" s="429">
        <f>Y36</f>
        <v>199.80993338713844</v>
      </c>
      <c r="J3" s="417">
        <f>Z36</f>
        <v>133.65187183626034</v>
      </c>
      <c r="K3" s="429">
        <f>AG36</f>
        <v>194.93493338713844</v>
      </c>
      <c r="L3" s="417">
        <f>AH36</f>
        <v>129.90187183626034</v>
      </c>
      <c r="M3" s="429">
        <f>AO36</f>
        <v>193.08243338713845</v>
      </c>
      <c r="N3" s="417">
        <f>AP36</f>
        <v>128.47687183626033</v>
      </c>
      <c r="O3" s="429">
        <f>AW36</f>
        <v>97.777329545454563</v>
      </c>
      <c r="P3" s="417">
        <f>AX36</f>
        <v>63.196022727272734</v>
      </c>
    </row>
    <row r="4" spans="3:16" ht="19.2" customHeight="1" x14ac:dyDescent="0.3">
      <c r="C4" s="501" t="s">
        <v>394</v>
      </c>
      <c r="D4" s="541"/>
      <c r="E4" s="429">
        <f>I46</f>
        <v>230.18639073660717</v>
      </c>
      <c r="F4" s="417">
        <f>J46</f>
        <v>154.01260825892859</v>
      </c>
      <c r="G4" s="429">
        <f>Q46</f>
        <v>282.43387981570993</v>
      </c>
      <c r="H4" s="417">
        <f>R46</f>
        <v>183.58990755054609</v>
      </c>
      <c r="I4" s="429">
        <f>Y46</f>
        <v>280.7763798157099</v>
      </c>
      <c r="J4" s="417">
        <f>Z46</f>
        <v>182.31490755054608</v>
      </c>
      <c r="K4" s="429">
        <f>AG46</f>
        <v>275.9013798157099</v>
      </c>
      <c r="L4" s="417">
        <f>AH46</f>
        <v>178.56490755054608</v>
      </c>
      <c r="M4" s="429">
        <f>AO46</f>
        <v>274.04887981570988</v>
      </c>
      <c r="N4" s="417">
        <f>AP46</f>
        <v>177.13990755054607</v>
      </c>
      <c r="O4" s="429">
        <f>AW46</f>
        <v>179.20785714285716</v>
      </c>
      <c r="P4" s="417">
        <f>AX46</f>
        <v>114.52142857142859</v>
      </c>
    </row>
    <row r="5" spans="3:16" ht="15.6" x14ac:dyDescent="0.3">
      <c r="C5" s="506" t="s">
        <v>388</v>
      </c>
      <c r="D5" s="606"/>
      <c r="E5" s="429">
        <v>241.88043145089287</v>
      </c>
      <c r="F5" s="417">
        <v>162.58110111607141</v>
      </c>
      <c r="G5" s="429">
        <v>279.370282317776</v>
      </c>
      <c r="H5" s="417">
        <v>183.11175562905845</v>
      </c>
      <c r="I5" s="429">
        <v>277.71278231777598</v>
      </c>
      <c r="J5" s="417">
        <v>181.83675562905844</v>
      </c>
      <c r="K5" s="429">
        <v>272.594032317776</v>
      </c>
      <c r="L5" s="417">
        <v>177.89925562905844</v>
      </c>
      <c r="M5" s="429">
        <v>270.74153231777598</v>
      </c>
      <c r="N5" s="417">
        <v>176.47425562905843</v>
      </c>
      <c r="O5" s="429">
        <v>185.88341917857144</v>
      </c>
      <c r="P5" s="417">
        <v>119.22955321428572</v>
      </c>
    </row>
    <row r="6" spans="3:16" ht="15.6" x14ac:dyDescent="0.3">
      <c r="C6" s="506" t="s">
        <v>375</v>
      </c>
      <c r="D6" s="606"/>
      <c r="E6" s="429">
        <v>360.67822692857141</v>
      </c>
      <c r="F6" s="417">
        <v>228.43402071428574</v>
      </c>
      <c r="G6" s="429">
        <v>335.30127678571432</v>
      </c>
      <c r="H6" s="417">
        <v>212.28598214285716</v>
      </c>
      <c r="I6" s="429">
        <v>333.64377678571429</v>
      </c>
      <c r="J6" s="417">
        <v>211.01098214285716</v>
      </c>
      <c r="K6" s="429">
        <v>328.52502678571432</v>
      </c>
      <c r="L6" s="417">
        <v>207.07348214285713</v>
      </c>
      <c r="M6" s="429">
        <v>326.6725267857143</v>
      </c>
      <c r="N6" s="417">
        <v>205.64848214285712</v>
      </c>
      <c r="O6" s="429">
        <v>321.55377678571426</v>
      </c>
      <c r="P6" s="417">
        <v>201.71098214285715</v>
      </c>
    </row>
    <row r="7" spans="3:16" ht="15.6" x14ac:dyDescent="0.3">
      <c r="C7" s="506" t="s">
        <v>369</v>
      </c>
      <c r="D7" s="606"/>
      <c r="E7" s="429">
        <v>263.44116696428569</v>
      </c>
      <c r="F7" s="417">
        <v>174.04320535714288</v>
      </c>
      <c r="G7" s="429">
        <v>253.62698678571428</v>
      </c>
      <c r="H7" s="417">
        <v>167.34768214285714</v>
      </c>
      <c r="I7" s="429">
        <v>240.03150600000001</v>
      </c>
      <c r="J7" s="417">
        <v>156.88961999999998</v>
      </c>
      <c r="K7" s="429">
        <v>247.04573678571427</v>
      </c>
      <c r="L7" s="417">
        <v>162.28518214285714</v>
      </c>
      <c r="M7" s="429">
        <v>245.19323678571428</v>
      </c>
      <c r="N7" s="417">
        <v>160.86018214285713</v>
      </c>
      <c r="O7" s="429">
        <v>213.14129453571428</v>
      </c>
      <c r="P7" s="417">
        <v>135.67314964285714</v>
      </c>
    </row>
    <row r="8" spans="3:16" ht="15.6" x14ac:dyDescent="0.3">
      <c r="C8" s="506" t="s">
        <v>370</v>
      </c>
      <c r="D8" s="606"/>
      <c r="E8" s="429">
        <v>226.29494296428572</v>
      </c>
      <c r="F8" s="417">
        <v>153.58072535714285</v>
      </c>
      <c r="G8" s="429">
        <v>311.90481932467537</v>
      </c>
      <c r="H8" s="417">
        <v>202.4313994805195</v>
      </c>
      <c r="I8" s="429">
        <v>310.24731932467535</v>
      </c>
      <c r="J8" s="417">
        <v>201.1563994805195</v>
      </c>
      <c r="K8" s="429">
        <v>303.17856932467532</v>
      </c>
      <c r="L8" s="417">
        <v>195.7188994805195</v>
      </c>
      <c r="M8" s="429">
        <v>301.3260693246753</v>
      </c>
      <c r="N8" s="417">
        <v>194.29389948051949</v>
      </c>
      <c r="O8" s="429">
        <v>176.34763389285715</v>
      </c>
      <c r="P8" s="417">
        <v>112.61202607142856</v>
      </c>
    </row>
    <row r="9" spans="3:16" ht="15.6" x14ac:dyDescent="0.3">
      <c r="C9" s="506" t="s">
        <v>371</v>
      </c>
      <c r="D9" s="606"/>
      <c r="E9" s="429">
        <v>226.49921773437501</v>
      </c>
      <c r="F9" s="417">
        <v>153.31093671874999</v>
      </c>
      <c r="G9" s="429">
        <v>272.97212085125813</v>
      </c>
      <c r="H9" s="417">
        <v>179.68432373173698</v>
      </c>
      <c r="I9" s="429">
        <v>271.31462085125816</v>
      </c>
      <c r="J9" s="417">
        <v>178.40932373173698</v>
      </c>
      <c r="K9" s="429">
        <v>264.24587085125813</v>
      </c>
      <c r="L9" s="417">
        <v>172.97182373173698</v>
      </c>
      <c r="M9" s="429">
        <v>262.39337085125811</v>
      </c>
      <c r="N9" s="417">
        <v>171.54682373173696</v>
      </c>
      <c r="O9" s="429">
        <v>168.81111107142857</v>
      </c>
      <c r="P9" s="417">
        <v>107.59123928571427</v>
      </c>
    </row>
    <row r="10" spans="3:16" ht="15.6" x14ac:dyDescent="0.3">
      <c r="C10" s="607" t="s">
        <v>372</v>
      </c>
      <c r="D10" s="608"/>
      <c r="E10" s="251">
        <v>136.73533487723213</v>
      </c>
      <c r="F10" s="248">
        <v>96.642565290178567</v>
      </c>
      <c r="G10" s="251">
        <v>133.61533487723216</v>
      </c>
      <c r="H10" s="248">
        <v>94.242565290178575</v>
      </c>
      <c r="I10" s="251">
        <v>131.95783487723213</v>
      </c>
      <c r="J10" s="248">
        <v>92.96756529017857</v>
      </c>
      <c r="K10" s="251">
        <v>127.57033487723214</v>
      </c>
      <c r="L10" s="248">
        <v>89.59256529017857</v>
      </c>
      <c r="M10" s="251">
        <v>125.71783487723215</v>
      </c>
      <c r="N10" s="248">
        <v>88.167565290178572</v>
      </c>
      <c r="O10" s="251">
        <v>79.637654642857143</v>
      </c>
      <c r="P10" s="248">
        <v>52.610503571428573</v>
      </c>
    </row>
    <row r="11" spans="3:16" ht="15.6" x14ac:dyDescent="0.3">
      <c r="C11" s="506" t="s">
        <v>376</v>
      </c>
      <c r="D11" s="606"/>
      <c r="E11" s="429">
        <v>411.27793735647322</v>
      </c>
      <c r="F11" s="417">
        <v>270.51379796651787</v>
      </c>
      <c r="G11" s="429">
        <v>391.58070827321433</v>
      </c>
      <c r="H11" s="417">
        <v>257.19785251785714</v>
      </c>
      <c r="I11" s="429">
        <v>389.9232082732143</v>
      </c>
      <c r="J11" s="417">
        <v>255.92285251785717</v>
      </c>
      <c r="K11" s="429">
        <v>382.80570827321429</v>
      </c>
      <c r="L11" s="417">
        <v>250.44785251785714</v>
      </c>
      <c r="M11" s="429">
        <v>380.95320827321427</v>
      </c>
      <c r="N11" s="417">
        <v>249.02285251785713</v>
      </c>
      <c r="O11" s="429">
        <v>328.44894103571431</v>
      </c>
      <c r="P11" s="417">
        <v>208.63495464285714</v>
      </c>
    </row>
    <row r="12" spans="3:16" ht="15.6" x14ac:dyDescent="0.3">
      <c r="C12" s="607" t="s">
        <v>377</v>
      </c>
      <c r="D12" s="608"/>
      <c r="E12" s="251">
        <v>441.57810371361597</v>
      </c>
      <c r="F12" s="248">
        <v>289.1254643950893</v>
      </c>
      <c r="G12" s="251">
        <v>420.01135330892862</v>
      </c>
      <c r="H12" s="248">
        <v>274.58488716071429</v>
      </c>
      <c r="I12" s="251">
        <v>418.35385330892859</v>
      </c>
      <c r="J12" s="248">
        <v>273.30988716071431</v>
      </c>
      <c r="K12" s="251">
        <v>417.57582027321422</v>
      </c>
      <c r="L12" s="248">
        <v>271.64409251785713</v>
      </c>
      <c r="M12" s="251">
        <v>409.38385330892856</v>
      </c>
      <c r="N12" s="248">
        <v>266.40988716071428</v>
      </c>
      <c r="O12" s="251">
        <v>363.21905303571424</v>
      </c>
      <c r="P12" s="248">
        <v>229.83119464285713</v>
      </c>
    </row>
    <row r="13" spans="3:16" ht="15.6" x14ac:dyDescent="0.3">
      <c r="C13" s="506" t="s">
        <v>387</v>
      </c>
      <c r="D13" s="606"/>
      <c r="E13" s="429">
        <v>352.48846357142855</v>
      </c>
      <c r="F13" s="417">
        <v>225.12266428571428</v>
      </c>
      <c r="G13" s="429">
        <v>335.03673114285721</v>
      </c>
      <c r="H13" s="417">
        <v>213.61940857142858</v>
      </c>
      <c r="I13" s="429">
        <v>333.37923114285718</v>
      </c>
      <c r="J13" s="417">
        <v>212.34440857142857</v>
      </c>
      <c r="K13" s="429">
        <v>326.11548114285716</v>
      </c>
      <c r="L13" s="417">
        <v>206.75690857142857</v>
      </c>
      <c r="M13" s="429">
        <v>324.26298114285714</v>
      </c>
      <c r="N13" s="417">
        <v>205.33190857142856</v>
      </c>
      <c r="O13" s="429">
        <v>316.99923114285713</v>
      </c>
      <c r="P13" s="417">
        <v>199.74440857142855</v>
      </c>
    </row>
    <row r="14" spans="3:16" ht="15.6" x14ac:dyDescent="0.3">
      <c r="C14" s="506" t="s">
        <v>389</v>
      </c>
      <c r="D14" s="606"/>
      <c r="E14" s="429">
        <v>210.10092344866072</v>
      </c>
      <c r="F14" s="417">
        <v>142.83147957589284</v>
      </c>
      <c r="G14" s="429">
        <v>248.77649452759741</v>
      </c>
      <c r="H14" s="417">
        <v>163.42038040584416</v>
      </c>
      <c r="I14" s="429">
        <v>247.11899452759741</v>
      </c>
      <c r="J14" s="417">
        <v>162.14538040584415</v>
      </c>
      <c r="K14" s="429">
        <v>242.0002445275974</v>
      </c>
      <c r="L14" s="417">
        <v>158.20788040584415</v>
      </c>
      <c r="M14" s="429">
        <v>240.14774452759741</v>
      </c>
      <c r="N14" s="417">
        <v>156.78288040584414</v>
      </c>
      <c r="O14" s="429">
        <v>163.06133810714286</v>
      </c>
      <c r="P14" s="417">
        <v>105.51641392857142</v>
      </c>
    </row>
    <row r="15" spans="3:16" ht="15.6" x14ac:dyDescent="0.3">
      <c r="C15" s="506" t="s">
        <v>391</v>
      </c>
      <c r="D15" s="606"/>
      <c r="E15" s="429">
        <v>251.43877554732143</v>
      </c>
      <c r="F15" s="417">
        <v>172.13751965178574</v>
      </c>
      <c r="G15" s="429">
        <v>249.72819515714286</v>
      </c>
      <c r="H15" s="417">
        <v>169.96784242857143</v>
      </c>
      <c r="I15" s="429">
        <v>248.07069515714286</v>
      </c>
      <c r="J15" s="417">
        <v>168.69284242857142</v>
      </c>
      <c r="K15" s="429">
        <v>241.19694515714286</v>
      </c>
      <c r="L15" s="417">
        <v>163.40534242857143</v>
      </c>
      <c r="M15" s="429">
        <v>239.34444515714287</v>
      </c>
      <c r="N15" s="417">
        <v>161.98034242857142</v>
      </c>
      <c r="O15" s="429">
        <v>190.19261060714285</v>
      </c>
      <c r="P15" s="417">
        <v>124.17123892857144</v>
      </c>
    </row>
    <row r="16" spans="3:16" ht="15.6" x14ac:dyDescent="0.3">
      <c r="C16" s="506" t="s">
        <v>390</v>
      </c>
      <c r="D16" s="606"/>
      <c r="E16" s="429">
        <v>341.26730599933035</v>
      </c>
      <c r="F16" s="417">
        <v>226.2940815379464</v>
      </c>
      <c r="G16" s="429">
        <v>324.51188652321434</v>
      </c>
      <c r="H16" s="417">
        <v>214.47260501785718</v>
      </c>
      <c r="I16" s="429">
        <v>322.85438652321432</v>
      </c>
      <c r="J16" s="417">
        <v>213.19760501785717</v>
      </c>
      <c r="K16" s="429">
        <v>317.73563652321434</v>
      </c>
      <c r="L16" s="417">
        <v>209.26010501785714</v>
      </c>
      <c r="M16" s="429">
        <v>315.88313652321432</v>
      </c>
      <c r="N16" s="417">
        <v>207.83510501785713</v>
      </c>
      <c r="O16" s="429">
        <v>265.37761928571433</v>
      </c>
      <c r="P16" s="417">
        <v>168.98470714285716</v>
      </c>
    </row>
    <row r="17" spans="2:50" ht="16.2" thickBot="1" x14ac:dyDescent="0.35">
      <c r="C17" s="506" t="s">
        <v>392</v>
      </c>
      <c r="D17" s="606"/>
      <c r="E17" s="430">
        <v>357.49339750000001</v>
      </c>
      <c r="F17" s="431">
        <v>226.41107499999998</v>
      </c>
      <c r="G17" s="430">
        <v>332.6878833928572</v>
      </c>
      <c r="H17" s="431">
        <v>210.48914107142858</v>
      </c>
      <c r="I17" s="430">
        <v>331.03038339285717</v>
      </c>
      <c r="J17" s="431">
        <v>209.21414107142857</v>
      </c>
      <c r="K17" s="430">
        <v>326.20413339285716</v>
      </c>
      <c r="L17" s="431">
        <v>205.50164107142854</v>
      </c>
      <c r="M17" s="430">
        <v>324.35163339285714</v>
      </c>
      <c r="N17" s="431">
        <v>204.07664107142853</v>
      </c>
      <c r="O17" s="430">
        <v>319.52538339285718</v>
      </c>
      <c r="P17" s="431">
        <v>200.36414107142855</v>
      </c>
    </row>
    <row r="18" spans="2:50" x14ac:dyDescent="0.3">
      <c r="C18" s="609" t="s">
        <v>401</v>
      </c>
      <c r="D18" s="609"/>
      <c r="E18" s="432">
        <f t="shared" ref="E18:P18" si="0">MAX(E3:E17)</f>
        <v>441.57810371361597</v>
      </c>
      <c r="F18" s="432">
        <f t="shared" si="0"/>
        <v>289.1254643950893</v>
      </c>
      <c r="G18" s="432">
        <f t="shared" si="0"/>
        <v>420.01135330892862</v>
      </c>
      <c r="H18" s="432">
        <f t="shared" si="0"/>
        <v>274.58488716071429</v>
      </c>
      <c r="I18" s="432">
        <f t="shared" si="0"/>
        <v>418.35385330892859</v>
      </c>
      <c r="J18" s="432">
        <f t="shared" si="0"/>
        <v>273.30988716071431</v>
      </c>
      <c r="K18" s="432">
        <f t="shared" si="0"/>
        <v>417.57582027321422</v>
      </c>
      <c r="L18" s="432">
        <f t="shared" si="0"/>
        <v>271.64409251785713</v>
      </c>
      <c r="M18" s="432">
        <f t="shared" si="0"/>
        <v>409.38385330892856</v>
      </c>
      <c r="N18" s="432">
        <f t="shared" si="0"/>
        <v>266.40988716071428</v>
      </c>
      <c r="O18" s="432">
        <f t="shared" si="0"/>
        <v>363.21905303571424</v>
      </c>
      <c r="P18" s="432">
        <f t="shared" si="0"/>
        <v>229.83119464285713</v>
      </c>
      <c r="Q18" s="488">
        <f>SUM(F18,H18,J18,L18,N18,P18)</f>
        <v>1604.9054130379463</v>
      </c>
    </row>
    <row r="19" spans="2:50" x14ac:dyDescent="0.3">
      <c r="C19" s="609" t="s">
        <v>402</v>
      </c>
      <c r="D19" s="609"/>
      <c r="E19" s="232">
        <f t="shared" ref="E19:P19" si="1">MIN(E4:E17)</f>
        <v>136.73533487723213</v>
      </c>
      <c r="F19" s="232">
        <f t="shared" si="1"/>
        <v>96.642565290178567</v>
      </c>
      <c r="G19" s="232">
        <f t="shared" si="1"/>
        <v>133.61533487723216</v>
      </c>
      <c r="H19" s="232">
        <f t="shared" si="1"/>
        <v>94.242565290178575</v>
      </c>
      <c r="I19" s="232">
        <f t="shared" si="1"/>
        <v>131.95783487723213</v>
      </c>
      <c r="J19" s="232">
        <f t="shared" si="1"/>
        <v>92.96756529017857</v>
      </c>
      <c r="K19" s="232">
        <f t="shared" si="1"/>
        <v>127.57033487723214</v>
      </c>
      <c r="L19" s="232">
        <f t="shared" si="1"/>
        <v>89.59256529017857</v>
      </c>
      <c r="M19" s="232">
        <f t="shared" si="1"/>
        <v>125.71783487723215</v>
      </c>
      <c r="N19" s="232">
        <f t="shared" si="1"/>
        <v>88.167565290178572</v>
      </c>
      <c r="O19" s="232">
        <f t="shared" si="1"/>
        <v>79.637654642857143</v>
      </c>
      <c r="P19" s="232">
        <f t="shared" si="1"/>
        <v>52.610503571428573</v>
      </c>
      <c r="Q19" s="488">
        <f>SUM(F19,H19,J19,L19,N19,P19)</f>
        <v>514.22333002232142</v>
      </c>
      <c r="R19">
        <v>52.61</v>
      </c>
      <c r="S19" s="21">
        <f>P19+N19</f>
        <v>140.77806886160715</v>
      </c>
      <c r="T19" s="21">
        <f>S19+L19</f>
        <v>230.37063415178574</v>
      </c>
      <c r="U19" s="21">
        <f>T19+J19</f>
        <v>323.33819944196432</v>
      </c>
      <c r="V19" s="21">
        <f>U19+H19</f>
        <v>417.58076473214288</v>
      </c>
      <c r="W19" s="21">
        <f>V19+F19</f>
        <v>514.22333002232142</v>
      </c>
    </row>
    <row r="23" spans="2:50" ht="15.6" x14ac:dyDescent="0.3">
      <c r="E23" s="506" t="s">
        <v>0</v>
      </c>
      <c r="F23" s="506"/>
      <c r="G23" s="297" t="s">
        <v>22</v>
      </c>
      <c r="H23" s="371" t="s">
        <v>23</v>
      </c>
      <c r="I23" s="371" t="s">
        <v>24</v>
      </c>
    </row>
    <row r="24" spans="2:50" ht="18.600000000000001" x14ac:dyDescent="0.4">
      <c r="E24" s="95" t="s">
        <v>1</v>
      </c>
      <c r="F24" s="95" t="s">
        <v>2</v>
      </c>
      <c r="G24" s="98" t="s">
        <v>14</v>
      </c>
      <c r="H24" s="371">
        <f>'Carichi unitari'!$H$4</f>
        <v>0.3</v>
      </c>
      <c r="I24" s="371">
        <v>0.6</v>
      </c>
    </row>
    <row r="25" spans="2:50" x14ac:dyDescent="0.3">
      <c r="E25" s="371">
        <f>'Carichi unitari'!$C$4</f>
        <v>1.3</v>
      </c>
      <c r="F25" s="371">
        <f>'Carichi unitari'!$D$4</f>
        <v>1.5</v>
      </c>
    </row>
    <row r="27" spans="2:50" ht="16.2" thickBot="1" x14ac:dyDescent="0.35">
      <c r="C27" s="602" t="s">
        <v>381</v>
      </c>
      <c r="D27" s="603"/>
      <c r="E27" s="603"/>
      <c r="F27" s="603"/>
      <c r="G27" s="603"/>
      <c r="H27" s="603"/>
      <c r="I27" s="603"/>
      <c r="J27" s="603"/>
      <c r="K27" s="602" t="s">
        <v>382</v>
      </c>
      <c r="L27" s="603"/>
      <c r="M27" s="603"/>
      <c r="N27" s="603"/>
      <c r="O27" s="603"/>
      <c r="P27" s="603"/>
      <c r="Q27" s="603"/>
      <c r="R27" s="603"/>
      <c r="S27" s="602" t="s">
        <v>383</v>
      </c>
      <c r="T27" s="603"/>
      <c r="U27" s="603"/>
      <c r="V27" s="603"/>
      <c r="W27" s="603"/>
      <c r="X27" s="603"/>
      <c r="Y27" s="603"/>
      <c r="Z27" s="603"/>
      <c r="AA27" s="602" t="s">
        <v>384</v>
      </c>
      <c r="AB27" s="603"/>
      <c r="AC27" s="603"/>
      <c r="AD27" s="603"/>
      <c r="AE27" s="603"/>
      <c r="AF27" s="603"/>
      <c r="AG27" s="603"/>
      <c r="AH27" s="603"/>
      <c r="AI27" s="602" t="s">
        <v>385</v>
      </c>
      <c r="AJ27" s="603"/>
      <c r="AK27" s="603"/>
      <c r="AL27" s="603"/>
      <c r="AM27" s="603"/>
      <c r="AN27" s="603"/>
      <c r="AO27" s="603"/>
      <c r="AP27" s="603"/>
      <c r="AQ27" s="602" t="s">
        <v>386</v>
      </c>
      <c r="AR27" s="603"/>
      <c r="AS27" s="603"/>
      <c r="AT27" s="603"/>
      <c r="AU27" s="603"/>
      <c r="AV27" s="603"/>
      <c r="AW27" s="603"/>
      <c r="AX27" s="603"/>
    </row>
    <row r="28" spans="2:50" ht="47.4" thickBot="1" x14ac:dyDescent="0.35">
      <c r="B28" s="406" t="s">
        <v>373</v>
      </c>
      <c r="C28" s="313" t="s">
        <v>241</v>
      </c>
      <c r="D28" s="314" t="s">
        <v>242</v>
      </c>
      <c r="E28" s="313" t="s">
        <v>241</v>
      </c>
      <c r="F28" s="314" t="s">
        <v>242</v>
      </c>
      <c r="G28" s="315" t="s">
        <v>8</v>
      </c>
      <c r="H28" s="315" t="s">
        <v>9</v>
      </c>
      <c r="I28" s="316" t="s">
        <v>253</v>
      </c>
      <c r="J28" s="317" t="s">
        <v>254</v>
      </c>
      <c r="K28" s="313" t="s">
        <v>241</v>
      </c>
      <c r="L28" s="314" t="s">
        <v>242</v>
      </c>
      <c r="M28" s="313" t="s">
        <v>241</v>
      </c>
      <c r="N28" s="314" t="s">
        <v>242</v>
      </c>
      <c r="O28" s="315" t="s">
        <v>8</v>
      </c>
      <c r="P28" s="315" t="s">
        <v>9</v>
      </c>
      <c r="Q28" s="316" t="s">
        <v>253</v>
      </c>
      <c r="R28" s="317" t="s">
        <v>254</v>
      </c>
      <c r="S28" s="313" t="s">
        <v>241</v>
      </c>
      <c r="T28" s="314" t="s">
        <v>242</v>
      </c>
      <c r="U28" s="313" t="s">
        <v>241</v>
      </c>
      <c r="V28" s="314" t="s">
        <v>242</v>
      </c>
      <c r="W28" s="315" t="s">
        <v>8</v>
      </c>
      <c r="X28" s="315" t="s">
        <v>9</v>
      </c>
      <c r="Y28" s="316" t="s">
        <v>253</v>
      </c>
      <c r="Z28" s="317" t="s">
        <v>254</v>
      </c>
      <c r="AA28" s="313" t="s">
        <v>241</v>
      </c>
      <c r="AB28" s="314" t="s">
        <v>242</v>
      </c>
      <c r="AC28" s="313" t="s">
        <v>241</v>
      </c>
      <c r="AD28" s="314" t="s">
        <v>242</v>
      </c>
      <c r="AE28" s="315" t="s">
        <v>8</v>
      </c>
      <c r="AF28" s="315" t="s">
        <v>9</v>
      </c>
      <c r="AG28" s="316" t="s">
        <v>253</v>
      </c>
      <c r="AH28" s="317" t="s">
        <v>254</v>
      </c>
      <c r="AI28" s="313" t="s">
        <v>241</v>
      </c>
      <c r="AJ28" s="314" t="s">
        <v>242</v>
      </c>
      <c r="AK28" s="313" t="s">
        <v>241</v>
      </c>
      <c r="AL28" s="314" t="s">
        <v>242</v>
      </c>
      <c r="AM28" s="315" t="s">
        <v>8</v>
      </c>
      <c r="AN28" s="315" t="s">
        <v>9</v>
      </c>
      <c r="AO28" s="316" t="s">
        <v>253</v>
      </c>
      <c r="AP28" s="317" t="s">
        <v>254</v>
      </c>
      <c r="AQ28" s="313" t="s">
        <v>241</v>
      </c>
      <c r="AR28" s="314" t="s">
        <v>242</v>
      </c>
      <c r="AS28" s="313" t="s">
        <v>241</v>
      </c>
      <c r="AT28" s="314" t="s">
        <v>242</v>
      </c>
      <c r="AU28" s="315" t="s">
        <v>8</v>
      </c>
      <c r="AV28" s="315" t="s">
        <v>9</v>
      </c>
      <c r="AW28" s="316" t="s">
        <v>253</v>
      </c>
      <c r="AX28" s="317" t="s">
        <v>254</v>
      </c>
    </row>
    <row r="29" spans="2:50" x14ac:dyDescent="0.3">
      <c r="B29" s="380" t="s">
        <v>42</v>
      </c>
      <c r="C29" s="386">
        <v>2.5</v>
      </c>
      <c r="D29" s="387"/>
      <c r="E29" s="387">
        <v>2.5</v>
      </c>
      <c r="F29" s="387">
        <v>1</v>
      </c>
      <c r="G29" s="378">
        <f>('Carichi unitari'!$C$11+'Carichi unitari'!$C$10)*C29*E29*F29</f>
        <v>34.387175324675326</v>
      </c>
      <c r="H29" s="319">
        <f>'Carichi unitari'!$D$10*C29*E29*F29</f>
        <v>12.5</v>
      </c>
      <c r="I29" s="378">
        <f>G29*$E$25+H29*$F$25</f>
        <v>63.453327922077925</v>
      </c>
      <c r="J29" s="320">
        <f>G29+H29*$H$24</f>
        <v>38.137175324675326</v>
      </c>
      <c r="K29" s="386">
        <v>2.5</v>
      </c>
      <c r="L29" s="387"/>
      <c r="M29" s="387">
        <v>2.5</v>
      </c>
      <c r="N29" s="387">
        <v>1.1000000000000001</v>
      </c>
      <c r="O29" s="378">
        <f>('Carichi unitari'!$C$11+'Carichi unitari'!$C$10)*K29*M29*N29</f>
        <v>37.825892857142861</v>
      </c>
      <c r="P29" s="319">
        <f>'Carichi unitari'!$D$10*K29*M29*N29</f>
        <v>13.750000000000002</v>
      </c>
      <c r="Q29" s="378">
        <f>O29*$E$25+P29*$F$25</f>
        <v>69.798660714285731</v>
      </c>
      <c r="R29" s="320">
        <f>O29+P29*$H$24</f>
        <v>41.950892857142861</v>
      </c>
      <c r="S29" s="386">
        <v>2.5</v>
      </c>
      <c r="T29" s="387"/>
      <c r="U29" s="387">
        <v>2.5</v>
      </c>
      <c r="V29" s="387">
        <v>1.1000000000000001</v>
      </c>
      <c r="W29" s="378">
        <f>('Carichi unitari'!$C$11+'Carichi unitari'!$C$10)*S29*U29*V29</f>
        <v>37.825892857142861</v>
      </c>
      <c r="X29" s="319">
        <f>'Carichi unitari'!$D$10*S29*U29*V29</f>
        <v>13.750000000000002</v>
      </c>
      <c r="Y29" s="378">
        <f>W29*$E$25+X29*$F$25</f>
        <v>69.798660714285731</v>
      </c>
      <c r="Z29" s="320">
        <f>W29+X29*$H$24</f>
        <v>41.950892857142861</v>
      </c>
      <c r="AA29" s="386">
        <v>2.5</v>
      </c>
      <c r="AB29" s="387"/>
      <c r="AC29" s="387">
        <v>2.5</v>
      </c>
      <c r="AD29" s="387">
        <v>1.1000000000000001</v>
      </c>
      <c r="AE29" s="378">
        <f>('Carichi unitari'!$C$11+'Carichi unitari'!$C$10)*AA29*AC29*AD29</f>
        <v>37.825892857142861</v>
      </c>
      <c r="AF29" s="319">
        <f>'Carichi unitari'!$D$10*AA29*AC29*AD29</f>
        <v>13.750000000000002</v>
      </c>
      <c r="AG29" s="378">
        <f>AE29*$E$25+AF29*$F$25</f>
        <v>69.798660714285731</v>
      </c>
      <c r="AH29" s="320">
        <f>AE29+AF29*$H$24</f>
        <v>41.950892857142861</v>
      </c>
      <c r="AI29" s="386">
        <v>2.5</v>
      </c>
      <c r="AJ29" s="387"/>
      <c r="AK29" s="387">
        <v>2.5</v>
      </c>
      <c r="AL29" s="387">
        <v>1.1000000000000001</v>
      </c>
      <c r="AM29" s="378">
        <f>('Carichi unitari'!$C$11+'Carichi unitari'!$C$10)*AI29*AK29*AL29</f>
        <v>37.825892857142861</v>
      </c>
      <c r="AN29" s="319">
        <f>'Carichi unitari'!$D$10*AI29*AK29*AL29</f>
        <v>13.750000000000002</v>
      </c>
      <c r="AO29" s="378">
        <f>AM29*$E$25+AN29*$F$25</f>
        <v>69.798660714285731</v>
      </c>
      <c r="AP29" s="320">
        <f>AM29+AN29*$H$24</f>
        <v>41.950892857142861</v>
      </c>
      <c r="AQ29" s="386">
        <v>2.5</v>
      </c>
      <c r="AR29" s="387"/>
      <c r="AS29" s="387">
        <v>2.5</v>
      </c>
      <c r="AT29" s="387">
        <v>1.1000000000000001</v>
      </c>
      <c r="AU29" s="378">
        <f>('Carichi unitari'!$C$11+'Carichi unitari'!$C$10)*AQ29*AS29*AT29</f>
        <v>37.825892857142861</v>
      </c>
      <c r="AV29" s="319">
        <f>'Carichi unitari'!$D$10*AQ29*AS29*AT29</f>
        <v>13.750000000000002</v>
      </c>
      <c r="AW29" s="378">
        <f>AU29*$E$25+AV29*$F$25</f>
        <v>69.798660714285731</v>
      </c>
      <c r="AX29" s="320">
        <f>AU29+AV29*$H$24</f>
        <v>41.950892857142861</v>
      </c>
    </row>
    <row r="30" spans="2:50" x14ac:dyDescent="0.3">
      <c r="B30" s="381" t="s">
        <v>45</v>
      </c>
      <c r="C30" s="37"/>
      <c r="D30" s="371"/>
      <c r="E30" s="371"/>
      <c r="F30" s="371"/>
      <c r="G30" s="9"/>
      <c r="H30" s="9"/>
      <c r="I30" s="9"/>
      <c r="J30" s="281"/>
      <c r="K30" s="37">
        <v>1.5</v>
      </c>
      <c r="L30" s="371"/>
      <c r="M30" s="371">
        <v>2.5</v>
      </c>
      <c r="N30" s="371"/>
      <c r="O30" s="9">
        <f>'Carichi unitari'!$C$14*K30*M30</f>
        <v>14.739669421487605</v>
      </c>
      <c r="P30" s="9">
        <f>K30*M30*'Carichi unitari'!$D$14</f>
        <v>15</v>
      </c>
      <c r="Q30" s="9">
        <f>O30*$E$25+P30*$F$25</f>
        <v>41.661570247933888</v>
      </c>
      <c r="R30" s="281">
        <f>O30+P30*$I$24</f>
        <v>23.739669421487605</v>
      </c>
      <c r="S30" s="37">
        <v>1.5</v>
      </c>
      <c r="T30" s="371"/>
      <c r="U30" s="371">
        <v>2.5</v>
      </c>
      <c r="V30" s="371"/>
      <c r="W30" s="9">
        <f>'Carichi unitari'!$C$14*S30*U30</f>
        <v>14.739669421487605</v>
      </c>
      <c r="X30" s="9">
        <f>S30*U30*'Carichi unitari'!$D$14</f>
        <v>15</v>
      </c>
      <c r="Y30" s="9">
        <f>W30*$E$25+X30*$F$25</f>
        <v>41.661570247933888</v>
      </c>
      <c r="Z30" s="281">
        <f>W30+X30*$I$24</f>
        <v>23.739669421487605</v>
      </c>
      <c r="AA30" s="37">
        <v>1.5</v>
      </c>
      <c r="AB30" s="371"/>
      <c r="AC30" s="371">
        <v>2.5</v>
      </c>
      <c r="AD30" s="371"/>
      <c r="AE30" s="9">
        <f>'Carichi unitari'!$C$14*AA30*AC30</f>
        <v>14.739669421487605</v>
      </c>
      <c r="AF30" s="9">
        <f>AA30*AC30*'Carichi unitari'!$D$14</f>
        <v>15</v>
      </c>
      <c r="AG30" s="9">
        <f>AE30*$E$25+AF30*$F$25</f>
        <v>41.661570247933888</v>
      </c>
      <c r="AH30" s="281">
        <f>AE30+AF30*$I$24</f>
        <v>23.739669421487605</v>
      </c>
      <c r="AI30" s="37">
        <v>1.5</v>
      </c>
      <c r="AJ30" s="371"/>
      <c r="AK30" s="371">
        <v>2.5</v>
      </c>
      <c r="AL30" s="371"/>
      <c r="AM30" s="9">
        <f>'Carichi unitari'!$C$14*AI30*AK30</f>
        <v>14.739669421487605</v>
      </c>
      <c r="AN30" s="9">
        <f>AI30*AK30*'Carichi unitari'!$D$14</f>
        <v>15</v>
      </c>
      <c r="AO30" s="9">
        <f>AM30*$E$25+AN30*$F$25</f>
        <v>41.661570247933888</v>
      </c>
      <c r="AP30" s="281">
        <f>AM30+AN30*$I$24</f>
        <v>23.739669421487605</v>
      </c>
      <c r="AQ30" s="37">
        <v>0.4</v>
      </c>
      <c r="AR30" s="371"/>
      <c r="AS30" s="371">
        <v>2.5</v>
      </c>
      <c r="AT30" s="371"/>
      <c r="AU30" s="9">
        <f>'Carichi unitari'!$C$15*AQ30*AS30</f>
        <v>3.5000000000000004</v>
      </c>
      <c r="AV30" s="9">
        <f>AQ30*AS30*'Carichi unitari'!$D$15</f>
        <v>0.5</v>
      </c>
      <c r="AW30" s="9">
        <f>AU30*$E$25+AV30*$F$25</f>
        <v>5.3000000000000007</v>
      </c>
      <c r="AX30" s="281">
        <f>AU30+AV30*$I$24</f>
        <v>3.8000000000000003</v>
      </c>
    </row>
    <row r="31" spans="2:50" x14ac:dyDescent="0.3">
      <c r="B31" s="381" t="s">
        <v>43</v>
      </c>
      <c r="C31" s="37"/>
      <c r="D31" s="371"/>
      <c r="E31" s="371"/>
      <c r="F31" s="371"/>
      <c r="G31" s="9"/>
      <c r="H31" s="9"/>
      <c r="I31" s="9"/>
      <c r="J31" s="281"/>
      <c r="K31" s="37"/>
      <c r="L31" s="371"/>
      <c r="M31" s="371"/>
      <c r="N31" s="371"/>
      <c r="O31" s="9"/>
      <c r="P31" s="9"/>
      <c r="Q31" s="9"/>
      <c r="R31" s="281"/>
      <c r="S31" s="37"/>
      <c r="T31" s="371"/>
      <c r="U31" s="371"/>
      <c r="V31" s="371"/>
      <c r="W31" s="9"/>
      <c r="X31" s="9"/>
      <c r="Y31" s="9"/>
      <c r="Z31" s="281"/>
      <c r="AA31" s="37"/>
      <c r="AB31" s="371"/>
      <c r="AC31" s="371"/>
      <c r="AD31" s="371"/>
      <c r="AE31" s="9"/>
      <c r="AF31" s="9"/>
      <c r="AG31" s="9"/>
      <c r="AH31" s="281"/>
      <c r="AI31" s="37"/>
      <c r="AJ31" s="371"/>
      <c r="AK31" s="371"/>
      <c r="AL31" s="371"/>
      <c r="AM31" s="9"/>
      <c r="AN31" s="9"/>
      <c r="AO31" s="9"/>
      <c r="AP31" s="281"/>
      <c r="AQ31" s="37"/>
      <c r="AR31" s="371"/>
      <c r="AS31" s="371"/>
      <c r="AT31" s="371"/>
      <c r="AU31" s="9"/>
      <c r="AV31" s="9"/>
      <c r="AW31" s="9"/>
      <c r="AX31" s="281"/>
    </row>
    <row r="32" spans="2:50" x14ac:dyDescent="0.3">
      <c r="B32" s="382" t="s">
        <v>357</v>
      </c>
      <c r="C32" s="388">
        <v>5</v>
      </c>
      <c r="D32" s="385"/>
      <c r="E32" s="385"/>
      <c r="F32" s="385"/>
      <c r="G32" s="9">
        <f>C32*'Carichi unitari'!$C$22</f>
        <v>29.891179687500006</v>
      </c>
      <c r="H32" s="9"/>
      <c r="I32" s="9">
        <f>G32*$E$25</f>
        <v>38.85853359375001</v>
      </c>
      <c r="J32" s="281">
        <f>G32</f>
        <v>29.891179687500006</v>
      </c>
      <c r="K32" s="388">
        <v>5</v>
      </c>
      <c r="L32" s="385"/>
      <c r="M32" s="385"/>
      <c r="N32" s="385"/>
      <c r="O32" s="9">
        <f>K32*'Carichi unitari'!$C$22</f>
        <v>29.891179687500006</v>
      </c>
      <c r="P32" s="9"/>
      <c r="Q32" s="9">
        <f>O32*$E$25</f>
        <v>38.85853359375001</v>
      </c>
      <c r="R32" s="281">
        <f>O32</f>
        <v>29.891179687500006</v>
      </c>
      <c r="S32" s="388">
        <v>5</v>
      </c>
      <c r="T32" s="385"/>
      <c r="U32" s="385"/>
      <c r="V32" s="385"/>
      <c r="W32" s="9">
        <f>S32*'Carichi unitari'!$C$22</f>
        <v>29.891179687500006</v>
      </c>
      <c r="X32" s="9"/>
      <c r="Y32" s="9">
        <f>W32*$E$25</f>
        <v>38.85853359375001</v>
      </c>
      <c r="Z32" s="281">
        <f>W32</f>
        <v>29.891179687500006</v>
      </c>
      <c r="AA32" s="388">
        <v>5</v>
      </c>
      <c r="AB32" s="385"/>
      <c r="AC32" s="385"/>
      <c r="AD32" s="385"/>
      <c r="AE32" s="9">
        <f>AA32*'Carichi unitari'!$C$22</f>
        <v>29.891179687500006</v>
      </c>
      <c r="AF32" s="9"/>
      <c r="AG32" s="9">
        <f>AE32*$E$25</f>
        <v>38.85853359375001</v>
      </c>
      <c r="AH32" s="281">
        <f>AE32</f>
        <v>29.891179687500006</v>
      </c>
      <c r="AI32" s="388">
        <v>5</v>
      </c>
      <c r="AJ32" s="385"/>
      <c r="AK32" s="385"/>
      <c r="AL32" s="385"/>
      <c r="AM32" s="9">
        <f>AI32*'Carichi unitari'!$C$22</f>
        <v>29.891179687500006</v>
      </c>
      <c r="AN32" s="9"/>
      <c r="AO32" s="9">
        <f>AM32*$E$25</f>
        <v>38.85853359375001</v>
      </c>
      <c r="AP32" s="281">
        <f>AM32</f>
        <v>29.891179687500006</v>
      </c>
      <c r="AQ32" s="388"/>
      <c r="AR32" s="385"/>
      <c r="AS32" s="385"/>
      <c r="AT32" s="385"/>
      <c r="AU32" s="9"/>
      <c r="AV32" s="9"/>
      <c r="AW32" s="9"/>
      <c r="AX32" s="281"/>
    </row>
    <row r="33" spans="2:50" x14ac:dyDescent="0.3">
      <c r="B33" s="383" t="s">
        <v>358</v>
      </c>
      <c r="C33" s="388">
        <v>5</v>
      </c>
      <c r="D33" s="385"/>
      <c r="E33" s="385"/>
      <c r="F33" s="385"/>
      <c r="G33" s="9">
        <f>C33*'Carichi unitari'!$C$17</f>
        <v>24.945129870129872</v>
      </c>
      <c r="H33" s="9"/>
      <c r="I33" s="9">
        <f>G33*$E$25</f>
        <v>32.428668831168835</v>
      </c>
      <c r="J33" s="281">
        <f>G33</f>
        <v>24.945129870129872</v>
      </c>
      <c r="K33" s="388">
        <v>5</v>
      </c>
      <c r="L33" s="385"/>
      <c r="M33" s="385"/>
      <c r="N33" s="385"/>
      <c r="O33" s="9">
        <f>K33*'Carichi unitari'!$C$17</f>
        <v>24.945129870129872</v>
      </c>
      <c r="P33" s="9"/>
      <c r="Q33" s="9">
        <f>O33*$E$25</f>
        <v>32.428668831168835</v>
      </c>
      <c r="R33" s="281">
        <f>O33</f>
        <v>24.945129870129872</v>
      </c>
      <c r="S33" s="388">
        <v>5</v>
      </c>
      <c r="T33" s="385"/>
      <c r="U33" s="385"/>
      <c r="V33" s="385"/>
      <c r="W33" s="9">
        <f>S33*'Carichi unitari'!$C$17</f>
        <v>24.945129870129872</v>
      </c>
      <c r="X33" s="9"/>
      <c r="Y33" s="9">
        <f>W33*$E$25</f>
        <v>32.428668831168835</v>
      </c>
      <c r="Z33" s="281">
        <f>W33</f>
        <v>24.945129870129872</v>
      </c>
      <c r="AA33" s="388">
        <v>5</v>
      </c>
      <c r="AB33" s="385"/>
      <c r="AC33" s="385"/>
      <c r="AD33" s="385"/>
      <c r="AE33" s="9">
        <f>AA33*'Carichi unitari'!$C$18</f>
        <v>21.195129870129868</v>
      </c>
      <c r="AF33" s="9"/>
      <c r="AG33" s="9">
        <f>AE33*$E$25</f>
        <v>27.553668831168828</v>
      </c>
      <c r="AH33" s="281">
        <f>AE33</f>
        <v>21.195129870129868</v>
      </c>
      <c r="AI33" s="388">
        <v>5</v>
      </c>
      <c r="AJ33" s="385"/>
      <c r="AK33" s="385"/>
      <c r="AL33" s="385"/>
      <c r="AM33" s="9">
        <f>AI33*'Carichi unitari'!$C$18</f>
        <v>21.195129870129868</v>
      </c>
      <c r="AN33" s="9"/>
      <c r="AO33" s="9">
        <f>AM33*$E$25</f>
        <v>27.553668831168828</v>
      </c>
      <c r="AP33" s="281">
        <f>AM33</f>
        <v>21.195129870129868</v>
      </c>
      <c r="AQ33" s="388">
        <v>5</v>
      </c>
      <c r="AR33" s="385"/>
      <c r="AS33" s="385"/>
      <c r="AT33" s="385"/>
      <c r="AU33" s="9">
        <f>AQ33*'Carichi unitari'!$C$19</f>
        <v>17.445129870129872</v>
      </c>
      <c r="AV33" s="9"/>
      <c r="AW33" s="9">
        <f>AU33*$E$25</f>
        <v>22.678668831168835</v>
      </c>
      <c r="AX33" s="281">
        <f>AU33</f>
        <v>17.445129870129872</v>
      </c>
    </row>
    <row r="34" spans="2:50" x14ac:dyDescent="0.3">
      <c r="B34" s="383" t="s">
        <v>359</v>
      </c>
      <c r="C34" s="388"/>
      <c r="D34" s="385"/>
      <c r="E34" s="385"/>
      <c r="F34" s="385"/>
      <c r="G34" s="9"/>
      <c r="H34" s="9"/>
      <c r="I34" s="9"/>
      <c r="J34" s="281"/>
      <c r="K34" s="388"/>
      <c r="L34" s="385"/>
      <c r="M34" s="385"/>
      <c r="N34" s="385"/>
      <c r="O34" s="9"/>
      <c r="P34" s="9"/>
      <c r="Q34" s="9"/>
      <c r="R34" s="281"/>
      <c r="S34" s="388"/>
      <c r="T34" s="385"/>
      <c r="U34" s="385"/>
      <c r="V34" s="385"/>
      <c r="W34" s="9"/>
      <c r="X34" s="9"/>
      <c r="Y34" s="9"/>
      <c r="Z34" s="281"/>
      <c r="AA34" s="388"/>
      <c r="AB34" s="385"/>
      <c r="AC34" s="385"/>
      <c r="AD34" s="385"/>
      <c r="AE34" s="9"/>
      <c r="AF34" s="9"/>
      <c r="AG34" s="9"/>
      <c r="AH34" s="281"/>
      <c r="AI34" s="388"/>
      <c r="AJ34" s="385"/>
      <c r="AK34" s="385"/>
      <c r="AL34" s="385"/>
      <c r="AM34" s="9"/>
      <c r="AN34" s="9"/>
      <c r="AO34" s="9"/>
      <c r="AP34" s="281"/>
      <c r="AQ34" s="388"/>
      <c r="AR34" s="385"/>
      <c r="AS34" s="385"/>
      <c r="AT34" s="385"/>
      <c r="AU34" s="9"/>
      <c r="AV34" s="9"/>
      <c r="AW34" s="9"/>
      <c r="AX34" s="281"/>
    </row>
    <row r="35" spans="2:50" x14ac:dyDescent="0.3">
      <c r="B35" s="383" t="s">
        <v>247</v>
      </c>
      <c r="C35" s="388"/>
      <c r="D35" s="385"/>
      <c r="E35" s="385"/>
      <c r="F35" s="385"/>
      <c r="G35" s="9">
        <f>'Carichi unitari'!$C$23</f>
        <v>16.799999999999997</v>
      </c>
      <c r="H35" s="9"/>
      <c r="I35" s="9">
        <f>G35*$E$25</f>
        <v>21.839999999999996</v>
      </c>
      <c r="J35" s="281">
        <f>G35</f>
        <v>16.799999999999997</v>
      </c>
      <c r="K35" s="388"/>
      <c r="L35" s="385"/>
      <c r="M35" s="385"/>
      <c r="N35" s="385"/>
      <c r="O35" s="9">
        <f>'Carichi unitari'!$C$24</f>
        <v>14.400000000000002</v>
      </c>
      <c r="P35" s="9"/>
      <c r="Q35" s="9">
        <f>O35*$E$25</f>
        <v>18.720000000000002</v>
      </c>
      <c r="R35" s="281">
        <f>O35</f>
        <v>14.400000000000002</v>
      </c>
      <c r="S35" s="388"/>
      <c r="T35" s="385"/>
      <c r="U35" s="385"/>
      <c r="V35" s="385"/>
      <c r="W35" s="9">
        <f>'Carichi unitari'!$C$25</f>
        <v>13.125</v>
      </c>
      <c r="X35" s="9"/>
      <c r="Y35" s="9">
        <f>W35*$E$25</f>
        <v>17.0625</v>
      </c>
      <c r="Z35" s="281">
        <f>W35</f>
        <v>13.125</v>
      </c>
      <c r="AA35" s="388"/>
      <c r="AB35" s="385"/>
      <c r="AC35" s="385"/>
      <c r="AD35" s="385"/>
      <c r="AE35" s="9">
        <f>'Carichi unitari'!$C$25</f>
        <v>13.125</v>
      </c>
      <c r="AF35" s="9"/>
      <c r="AG35" s="9">
        <f>AE35*$E$25</f>
        <v>17.0625</v>
      </c>
      <c r="AH35" s="281">
        <f>AE35</f>
        <v>13.125</v>
      </c>
      <c r="AI35" s="388"/>
      <c r="AJ35" s="385"/>
      <c r="AK35" s="385"/>
      <c r="AL35" s="385"/>
      <c r="AM35" s="9">
        <f>'Carichi unitari'!$C$26</f>
        <v>11.700000000000001</v>
      </c>
      <c r="AN35" s="9"/>
      <c r="AO35" s="9">
        <f>AM35*$E$25</f>
        <v>15.210000000000003</v>
      </c>
      <c r="AP35" s="281">
        <f>AM35</f>
        <v>11.700000000000001</v>
      </c>
      <c r="AQ35" s="388"/>
      <c r="AR35" s="385"/>
      <c r="AS35" s="385"/>
      <c r="AT35" s="385"/>
      <c r="AU35" s="9"/>
      <c r="AV35" s="9"/>
      <c r="AW35" s="9"/>
      <c r="AX35" s="281"/>
    </row>
    <row r="36" spans="2:50" ht="15" thickBot="1" x14ac:dyDescent="0.35">
      <c r="B36" s="384" t="s">
        <v>380</v>
      </c>
      <c r="C36" s="389"/>
      <c r="D36" s="390"/>
      <c r="E36" s="390"/>
      <c r="F36" s="390"/>
      <c r="G36" s="301"/>
      <c r="H36" s="301"/>
      <c r="I36" s="350">
        <f>SUM(I29:I35)</f>
        <v>156.58053034699677</v>
      </c>
      <c r="J36" s="352">
        <f>SUM(J29:J35)</f>
        <v>109.7734848823052</v>
      </c>
      <c r="K36" s="389"/>
      <c r="L36" s="390"/>
      <c r="M36" s="390"/>
      <c r="N36" s="390"/>
      <c r="O36" s="301"/>
      <c r="P36" s="301"/>
      <c r="Q36" s="350">
        <f>SUM(Q29:Q35)</f>
        <v>201.46743338713844</v>
      </c>
      <c r="R36" s="352">
        <f>SUM(R29:R35)</f>
        <v>134.92687183626035</v>
      </c>
      <c r="S36" s="389"/>
      <c r="T36" s="390"/>
      <c r="U36" s="390"/>
      <c r="V36" s="390"/>
      <c r="W36" s="301"/>
      <c r="X36" s="301"/>
      <c r="Y36" s="350">
        <f>SUM(Y29:Y35)</f>
        <v>199.80993338713844</v>
      </c>
      <c r="Z36" s="352">
        <f>SUM(Z29:Z35)</f>
        <v>133.65187183626034</v>
      </c>
      <c r="AA36" s="389"/>
      <c r="AB36" s="390"/>
      <c r="AC36" s="390"/>
      <c r="AD36" s="390"/>
      <c r="AE36" s="301"/>
      <c r="AF36" s="301"/>
      <c r="AG36" s="350">
        <f>SUM(AG29:AG35)</f>
        <v>194.93493338713844</v>
      </c>
      <c r="AH36" s="352">
        <f>SUM(AH29:AH35)</f>
        <v>129.90187183626034</v>
      </c>
      <c r="AI36" s="389"/>
      <c r="AJ36" s="390"/>
      <c r="AK36" s="390"/>
      <c r="AL36" s="390"/>
      <c r="AM36" s="301"/>
      <c r="AN36" s="301"/>
      <c r="AO36" s="350">
        <f>SUM(AO29:AO35)</f>
        <v>193.08243338713845</v>
      </c>
      <c r="AP36" s="352">
        <f>SUM(AP29:AP35)</f>
        <v>128.47687183626033</v>
      </c>
      <c r="AQ36" s="389"/>
      <c r="AR36" s="390"/>
      <c r="AS36" s="390"/>
      <c r="AT36" s="390"/>
      <c r="AU36" s="301"/>
      <c r="AV36" s="301"/>
      <c r="AW36" s="350">
        <f>SUM(AW29:AW35)</f>
        <v>97.777329545454563</v>
      </c>
      <c r="AX36" s="352">
        <f>SUM(AX29:AX35)</f>
        <v>63.196022727272734</v>
      </c>
    </row>
    <row r="37" spans="2:50" ht="16.2" thickBot="1" x14ac:dyDescent="0.35">
      <c r="C37" s="602" t="s">
        <v>381</v>
      </c>
      <c r="D37" s="603"/>
      <c r="E37" s="603"/>
      <c r="F37" s="603"/>
      <c r="G37" s="603"/>
      <c r="H37" s="603"/>
      <c r="I37" s="603"/>
      <c r="J37" s="603"/>
      <c r="K37" s="602" t="s">
        <v>382</v>
      </c>
      <c r="L37" s="603"/>
      <c r="M37" s="603"/>
      <c r="N37" s="603"/>
      <c r="O37" s="603"/>
      <c r="P37" s="603"/>
      <c r="Q37" s="603"/>
      <c r="R37" s="603"/>
      <c r="S37" s="602" t="s">
        <v>383</v>
      </c>
      <c r="T37" s="603"/>
      <c r="U37" s="603"/>
      <c r="V37" s="603"/>
      <c r="W37" s="603"/>
      <c r="X37" s="603"/>
      <c r="Y37" s="603"/>
      <c r="Z37" s="603"/>
      <c r="AA37" s="602" t="s">
        <v>384</v>
      </c>
      <c r="AB37" s="603"/>
      <c r="AC37" s="603"/>
      <c r="AD37" s="603"/>
      <c r="AE37" s="603"/>
      <c r="AF37" s="603"/>
      <c r="AG37" s="603"/>
      <c r="AH37" s="603"/>
      <c r="AI37" s="602" t="s">
        <v>385</v>
      </c>
      <c r="AJ37" s="603"/>
      <c r="AK37" s="603"/>
      <c r="AL37" s="603"/>
      <c r="AM37" s="603"/>
      <c r="AN37" s="603"/>
      <c r="AO37" s="603"/>
      <c r="AP37" s="603"/>
      <c r="AQ37" s="602" t="s">
        <v>386</v>
      </c>
      <c r="AR37" s="603"/>
      <c r="AS37" s="603"/>
      <c r="AT37" s="603"/>
      <c r="AU37" s="603"/>
      <c r="AV37" s="603"/>
      <c r="AW37" s="603"/>
      <c r="AX37" s="603"/>
    </row>
    <row r="38" spans="2:50" ht="46.2" thickBot="1" x14ac:dyDescent="0.35">
      <c r="B38" s="406" t="s">
        <v>374</v>
      </c>
      <c r="C38" s="313" t="s">
        <v>241</v>
      </c>
      <c r="D38" s="314" t="s">
        <v>242</v>
      </c>
      <c r="E38" s="313" t="s">
        <v>241</v>
      </c>
      <c r="F38" s="314" t="s">
        <v>242</v>
      </c>
      <c r="G38" s="315" t="s">
        <v>8</v>
      </c>
      <c r="H38" s="315" t="s">
        <v>9</v>
      </c>
      <c r="I38" s="316" t="s">
        <v>253</v>
      </c>
      <c r="J38" s="317" t="s">
        <v>254</v>
      </c>
      <c r="K38" s="313" t="s">
        <v>241</v>
      </c>
      <c r="L38" s="314" t="s">
        <v>242</v>
      </c>
      <c r="M38" s="313" t="s">
        <v>241</v>
      </c>
      <c r="N38" s="314" t="s">
        <v>242</v>
      </c>
      <c r="O38" s="315" t="s">
        <v>8</v>
      </c>
      <c r="P38" s="315" t="s">
        <v>9</v>
      </c>
      <c r="Q38" s="316" t="s">
        <v>253</v>
      </c>
      <c r="R38" s="317" t="s">
        <v>254</v>
      </c>
      <c r="S38" s="313" t="s">
        <v>241</v>
      </c>
      <c r="T38" s="314" t="s">
        <v>242</v>
      </c>
      <c r="U38" s="313" t="s">
        <v>241</v>
      </c>
      <c r="V38" s="314" t="s">
        <v>242</v>
      </c>
      <c r="W38" s="315" t="s">
        <v>8</v>
      </c>
      <c r="X38" s="315" t="s">
        <v>9</v>
      </c>
      <c r="Y38" s="316" t="s">
        <v>253</v>
      </c>
      <c r="Z38" s="317" t="s">
        <v>254</v>
      </c>
      <c r="AA38" s="313" t="s">
        <v>241</v>
      </c>
      <c r="AB38" s="314" t="s">
        <v>242</v>
      </c>
      <c r="AC38" s="313" t="s">
        <v>241</v>
      </c>
      <c r="AD38" s="314" t="s">
        <v>242</v>
      </c>
      <c r="AE38" s="315" t="s">
        <v>8</v>
      </c>
      <c r="AF38" s="315" t="s">
        <v>9</v>
      </c>
      <c r="AG38" s="316" t="s">
        <v>253</v>
      </c>
      <c r="AH38" s="317" t="s">
        <v>254</v>
      </c>
      <c r="AI38" s="313" t="s">
        <v>241</v>
      </c>
      <c r="AJ38" s="314" t="s">
        <v>242</v>
      </c>
      <c r="AK38" s="313" t="s">
        <v>241</v>
      </c>
      <c r="AL38" s="314" t="s">
        <v>242</v>
      </c>
      <c r="AM38" s="315" t="s">
        <v>8</v>
      </c>
      <c r="AN38" s="315" t="s">
        <v>9</v>
      </c>
      <c r="AO38" s="316" t="s">
        <v>253</v>
      </c>
      <c r="AP38" s="317" t="s">
        <v>254</v>
      </c>
      <c r="AQ38" s="313" t="s">
        <v>241</v>
      </c>
      <c r="AR38" s="314" t="s">
        <v>242</v>
      </c>
      <c r="AS38" s="313" t="s">
        <v>241</v>
      </c>
      <c r="AT38" s="314" t="s">
        <v>242</v>
      </c>
      <c r="AU38" s="315" t="s">
        <v>8</v>
      </c>
      <c r="AV38" s="315" t="s">
        <v>9</v>
      </c>
      <c r="AW38" s="316" t="s">
        <v>253</v>
      </c>
      <c r="AX38" s="317" t="s">
        <v>254</v>
      </c>
    </row>
    <row r="39" spans="2:50" x14ac:dyDescent="0.3">
      <c r="B39" s="380" t="s">
        <v>42</v>
      </c>
      <c r="C39" s="386">
        <f>2.5+2</f>
        <v>4.5</v>
      </c>
      <c r="D39" s="387">
        <v>1.2</v>
      </c>
      <c r="E39" s="387">
        <v>2.5</v>
      </c>
      <c r="F39" s="387">
        <v>1</v>
      </c>
      <c r="G39" s="378">
        <f>('Carichi unitari'!$C$11+'Carichi unitari'!$C$10)*C39*D39*E39*F39</f>
        <v>74.276298701298714</v>
      </c>
      <c r="H39" s="319">
        <f>'Carichi unitari'!$D$10*C39*D39*E39*F39</f>
        <v>26.999999999999996</v>
      </c>
      <c r="I39" s="378">
        <f>G39*$E$25+H39*$F$25</f>
        <v>137.05918831168833</v>
      </c>
      <c r="J39" s="320">
        <f>G39+H39*$H$24</f>
        <v>82.376298701298708</v>
      </c>
      <c r="K39" s="386">
        <f>2.5+2</f>
        <v>4.5</v>
      </c>
      <c r="L39" s="387">
        <v>1.2</v>
      </c>
      <c r="M39" s="387">
        <v>2.5</v>
      </c>
      <c r="N39" s="387">
        <v>1.1000000000000001</v>
      </c>
      <c r="O39" s="378">
        <f>('Carichi unitari'!$C$11+'Carichi unitari'!$C$10)*K39*L39*M39*N39</f>
        <v>81.703928571428591</v>
      </c>
      <c r="P39" s="319">
        <f>'Carichi unitari'!$D$10*K39*L39*M39*N39</f>
        <v>29.7</v>
      </c>
      <c r="Q39" s="378">
        <f>O39*$E$25+P39*$F$25</f>
        <v>150.76510714285718</v>
      </c>
      <c r="R39" s="320">
        <f>O39+P39*$H$24</f>
        <v>90.613928571428588</v>
      </c>
      <c r="S39" s="386">
        <f>2.5+2</f>
        <v>4.5</v>
      </c>
      <c r="T39" s="387">
        <v>1.2</v>
      </c>
      <c r="U39" s="387">
        <v>2.5</v>
      </c>
      <c r="V39" s="387">
        <v>1.1000000000000001</v>
      </c>
      <c r="W39" s="378">
        <f>('Carichi unitari'!$C$11+'Carichi unitari'!$C$10)*S39*T39*U39*V39</f>
        <v>81.703928571428591</v>
      </c>
      <c r="X39" s="319">
        <f>'Carichi unitari'!$D$10*S39*T39*U39*V39</f>
        <v>29.7</v>
      </c>
      <c r="Y39" s="378">
        <f>W39*$E$25+X39*$F$25</f>
        <v>150.76510714285718</v>
      </c>
      <c r="Z39" s="320">
        <f>W39+X39*$H$24</f>
        <v>90.613928571428588</v>
      </c>
      <c r="AA39" s="386">
        <f>2.5+2</f>
        <v>4.5</v>
      </c>
      <c r="AB39" s="387">
        <v>1.2</v>
      </c>
      <c r="AC39" s="387">
        <v>2.5</v>
      </c>
      <c r="AD39" s="387">
        <v>1.1000000000000001</v>
      </c>
      <c r="AE39" s="378">
        <f>('Carichi unitari'!$C$11+'Carichi unitari'!$C$10)*AA39*AB39*AC39*AD39</f>
        <v>81.703928571428591</v>
      </c>
      <c r="AF39" s="319">
        <f>'Carichi unitari'!$D$10*AA39*AB39*AC39*AD39</f>
        <v>29.7</v>
      </c>
      <c r="AG39" s="378">
        <f>AE39*$E$25+AF39*$F$25</f>
        <v>150.76510714285718</v>
      </c>
      <c r="AH39" s="320">
        <f>AE39+AF39*$H$24</f>
        <v>90.613928571428588</v>
      </c>
      <c r="AI39" s="386">
        <f>2.5+2</f>
        <v>4.5</v>
      </c>
      <c r="AJ39" s="387">
        <v>1.2</v>
      </c>
      <c r="AK39" s="387">
        <v>2.5</v>
      </c>
      <c r="AL39" s="387">
        <v>1.1000000000000001</v>
      </c>
      <c r="AM39" s="378">
        <f>('Carichi unitari'!$C$11+'Carichi unitari'!$C$10)*AI39*AJ39*AK39*AL39</f>
        <v>81.703928571428591</v>
      </c>
      <c r="AN39" s="319">
        <f>'Carichi unitari'!$D$10*AI39*AJ39*AK39*AL39</f>
        <v>29.7</v>
      </c>
      <c r="AO39" s="378">
        <f>AM39*$E$25+AN39*$F$25</f>
        <v>150.76510714285718</v>
      </c>
      <c r="AP39" s="320">
        <f>AM39+AN39*$H$24</f>
        <v>90.613928571428588</v>
      </c>
      <c r="AQ39" s="386">
        <f>2.5+2</f>
        <v>4.5</v>
      </c>
      <c r="AR39" s="387">
        <v>1.2</v>
      </c>
      <c r="AS39" s="387">
        <v>2.5</v>
      </c>
      <c r="AT39" s="387">
        <v>1</v>
      </c>
      <c r="AU39" s="378">
        <f>('Carichi unitari'!$C$11+'Carichi unitari'!$C$10)*AQ39*AR39*AS39*AT39</f>
        <v>74.276298701298714</v>
      </c>
      <c r="AV39" s="319">
        <f>'Carichi unitari'!$D$10*AQ39*AR39*AS39*AT39</f>
        <v>26.999999999999996</v>
      </c>
      <c r="AW39" s="378">
        <f>AU39*$E$25+AV39*$F$25</f>
        <v>137.05918831168833</v>
      </c>
      <c r="AX39" s="320">
        <f>AU39+AV39*$H$24</f>
        <v>82.376298701298708</v>
      </c>
    </row>
    <row r="40" spans="2:50" x14ac:dyDescent="0.3">
      <c r="B40" s="381" t="s">
        <v>45</v>
      </c>
      <c r="C40" s="37"/>
      <c r="D40" s="371"/>
      <c r="E40" s="371"/>
      <c r="F40" s="371"/>
      <c r="G40" s="9"/>
      <c r="H40" s="9"/>
      <c r="I40" s="9"/>
      <c r="J40" s="281"/>
      <c r="K40" s="37">
        <v>1.5</v>
      </c>
      <c r="L40" s="392"/>
      <c r="M40" s="392">
        <v>2.5</v>
      </c>
      <c r="N40" s="392"/>
      <c r="O40" s="9">
        <f>'Carichi unitari'!$C$14*K40*M40</f>
        <v>14.739669421487605</v>
      </c>
      <c r="P40" s="9">
        <f>K40*M40*'Carichi unitari'!$D$14</f>
        <v>15</v>
      </c>
      <c r="Q40" s="9">
        <f>O40*$E$25+P40*$F$25</f>
        <v>41.661570247933888</v>
      </c>
      <c r="R40" s="281">
        <f>O40+P40*$I$24</f>
        <v>23.739669421487605</v>
      </c>
      <c r="S40" s="37">
        <v>1.5</v>
      </c>
      <c r="T40" s="392"/>
      <c r="U40" s="392">
        <v>2.5</v>
      </c>
      <c r="V40" s="392"/>
      <c r="W40" s="9">
        <f>'Carichi unitari'!$C$14*S40*U40</f>
        <v>14.739669421487605</v>
      </c>
      <c r="X40" s="9">
        <f>S40*U40*'Carichi unitari'!$D$14</f>
        <v>15</v>
      </c>
      <c r="Y40" s="9">
        <f>W40*$E$25+X40*$F$25</f>
        <v>41.661570247933888</v>
      </c>
      <c r="Z40" s="281">
        <f>W40+X40*$I$24</f>
        <v>23.739669421487605</v>
      </c>
      <c r="AA40" s="37">
        <v>1.5</v>
      </c>
      <c r="AB40" s="392"/>
      <c r="AC40" s="392">
        <v>2.5</v>
      </c>
      <c r="AD40" s="392"/>
      <c r="AE40" s="9">
        <f>'Carichi unitari'!$C$14*AA40*AC40</f>
        <v>14.739669421487605</v>
      </c>
      <c r="AF40" s="9">
        <f>AA40*AC40*'Carichi unitari'!$D$14</f>
        <v>15</v>
      </c>
      <c r="AG40" s="9">
        <f>AE40*$E$25+AF40*$F$25</f>
        <v>41.661570247933888</v>
      </c>
      <c r="AH40" s="281">
        <f>AE40+AF40*$I$24</f>
        <v>23.739669421487605</v>
      </c>
      <c r="AI40" s="37">
        <v>1.5</v>
      </c>
      <c r="AJ40" s="371"/>
      <c r="AK40" s="371">
        <v>2.5</v>
      </c>
      <c r="AL40" s="371"/>
      <c r="AM40" s="9">
        <f>'Carichi unitari'!$C$14*AI40*AK40</f>
        <v>14.739669421487605</v>
      </c>
      <c r="AN40" s="9">
        <f>AI40*AK40*'Carichi unitari'!$D$14</f>
        <v>15</v>
      </c>
      <c r="AO40" s="9">
        <f>AM40*$E$25+AN40*$F$25</f>
        <v>41.661570247933888</v>
      </c>
      <c r="AP40" s="281">
        <f>AM40+AN40*$I$24</f>
        <v>23.739669421487605</v>
      </c>
      <c r="AQ40" s="37">
        <v>0.4</v>
      </c>
      <c r="AR40" s="371"/>
      <c r="AS40" s="371">
        <v>2.5</v>
      </c>
      <c r="AT40" s="371"/>
      <c r="AU40" s="9">
        <f>'Carichi unitari'!C24*AQ40*AS40</f>
        <v>14.400000000000004</v>
      </c>
      <c r="AV40" s="9">
        <f>AQ40*AS40*'Carichi unitari'!$D$15</f>
        <v>0.5</v>
      </c>
      <c r="AW40" s="9">
        <f>AU40*$E$25+AV40*$F$25</f>
        <v>19.470000000000006</v>
      </c>
      <c r="AX40" s="281">
        <f>AU40+AV40*$I$24</f>
        <v>14.700000000000005</v>
      </c>
    </row>
    <row r="41" spans="2:50" x14ac:dyDescent="0.3">
      <c r="B41" s="381" t="s">
        <v>43</v>
      </c>
      <c r="C41" s="37"/>
      <c r="D41" s="371"/>
      <c r="E41" s="371"/>
      <c r="F41" s="371"/>
      <c r="G41" s="9"/>
      <c r="H41" s="9"/>
      <c r="I41" s="9"/>
      <c r="J41" s="281"/>
      <c r="K41" s="37"/>
      <c r="L41" s="371"/>
      <c r="M41" s="371"/>
      <c r="N41" s="371"/>
      <c r="O41" s="9"/>
      <c r="P41" s="9"/>
      <c r="Q41" s="9"/>
      <c r="R41" s="281"/>
      <c r="S41" s="37"/>
      <c r="T41" s="371"/>
      <c r="U41" s="371"/>
      <c r="V41" s="371"/>
      <c r="W41" s="9"/>
      <c r="X41" s="9"/>
      <c r="Y41" s="9"/>
      <c r="Z41" s="281"/>
      <c r="AA41" s="37"/>
      <c r="AB41" s="371"/>
      <c r="AC41" s="371"/>
      <c r="AD41" s="371"/>
      <c r="AE41" s="9"/>
      <c r="AF41" s="9"/>
      <c r="AG41" s="9"/>
      <c r="AH41" s="281"/>
      <c r="AI41" s="37"/>
      <c r="AJ41" s="371"/>
      <c r="AK41" s="371"/>
      <c r="AL41" s="371"/>
      <c r="AM41" s="9"/>
      <c r="AN41" s="9"/>
      <c r="AO41" s="9"/>
      <c r="AP41" s="281"/>
      <c r="AQ41" s="37"/>
      <c r="AR41" s="371"/>
      <c r="AS41" s="371"/>
      <c r="AT41" s="371"/>
      <c r="AU41" s="9"/>
      <c r="AV41" s="9"/>
      <c r="AW41" s="9"/>
      <c r="AX41" s="281"/>
    </row>
    <row r="42" spans="2:50" x14ac:dyDescent="0.3">
      <c r="B42" s="382" t="s">
        <v>357</v>
      </c>
      <c r="C42" s="388">
        <v>5</v>
      </c>
      <c r="D42" s="385"/>
      <c r="E42" s="385"/>
      <c r="F42" s="385"/>
      <c r="G42" s="9">
        <f>C42*'Carichi unitari'!$C$22</f>
        <v>29.891179687500006</v>
      </c>
      <c r="H42" s="9"/>
      <c r="I42" s="9">
        <f>G42*$E$25</f>
        <v>38.85853359375001</v>
      </c>
      <c r="J42" s="281">
        <f>G42</f>
        <v>29.891179687500006</v>
      </c>
      <c r="K42" s="388">
        <v>5</v>
      </c>
      <c r="L42" s="385"/>
      <c r="M42" s="385"/>
      <c r="N42" s="385"/>
      <c r="O42" s="9">
        <f>K42*'Carichi unitari'!$C$22</f>
        <v>29.891179687500006</v>
      </c>
      <c r="P42" s="9"/>
      <c r="Q42" s="9">
        <f>O42*$E$25</f>
        <v>38.85853359375001</v>
      </c>
      <c r="R42" s="281">
        <f>O42</f>
        <v>29.891179687500006</v>
      </c>
      <c r="S42" s="388">
        <v>5</v>
      </c>
      <c r="T42" s="385"/>
      <c r="U42" s="385"/>
      <c r="V42" s="385"/>
      <c r="W42" s="9">
        <f>S42*'Carichi unitari'!$C$22</f>
        <v>29.891179687500006</v>
      </c>
      <c r="X42" s="9"/>
      <c r="Y42" s="9">
        <f>W42*$E$25</f>
        <v>38.85853359375001</v>
      </c>
      <c r="Z42" s="281">
        <f>W42</f>
        <v>29.891179687500006</v>
      </c>
      <c r="AA42" s="388">
        <v>5</v>
      </c>
      <c r="AB42" s="385"/>
      <c r="AC42" s="385"/>
      <c r="AD42" s="385"/>
      <c r="AE42" s="9">
        <f>AA42*'Carichi unitari'!$C$22</f>
        <v>29.891179687500006</v>
      </c>
      <c r="AF42" s="9"/>
      <c r="AG42" s="9">
        <f>AE42*$E$25</f>
        <v>38.85853359375001</v>
      </c>
      <c r="AH42" s="281">
        <f>AE42</f>
        <v>29.891179687500006</v>
      </c>
      <c r="AI42" s="388">
        <v>5</v>
      </c>
      <c r="AJ42" s="385"/>
      <c r="AK42" s="385"/>
      <c r="AL42" s="385"/>
      <c r="AM42" s="9">
        <f>AI42*'Carichi unitari'!$C$22</f>
        <v>29.891179687500006</v>
      </c>
      <c r="AN42" s="9"/>
      <c r="AO42" s="9">
        <f>AM42*$E$25</f>
        <v>38.85853359375001</v>
      </c>
      <c r="AP42" s="281">
        <f>AM42</f>
        <v>29.891179687500006</v>
      </c>
      <c r="AQ42" s="388"/>
      <c r="AR42" s="385"/>
      <c r="AS42" s="385"/>
      <c r="AT42" s="385"/>
      <c r="AU42" s="9"/>
      <c r="AV42" s="9"/>
      <c r="AW42" s="9"/>
      <c r="AX42" s="281"/>
    </row>
    <row r="43" spans="2:50" x14ac:dyDescent="0.3">
      <c r="B43" s="383" t="s">
        <v>358</v>
      </c>
      <c r="C43" s="388">
        <v>5</v>
      </c>
      <c r="D43" s="385"/>
      <c r="E43" s="385"/>
      <c r="F43" s="385"/>
      <c r="G43" s="9">
        <f>C43*'Carichi unitari'!$C$17</f>
        <v>24.945129870129872</v>
      </c>
      <c r="H43" s="9"/>
      <c r="I43" s="9">
        <f>G43*$E$25</f>
        <v>32.428668831168835</v>
      </c>
      <c r="J43" s="281">
        <f>G43</f>
        <v>24.945129870129872</v>
      </c>
      <c r="K43" s="388">
        <v>5</v>
      </c>
      <c r="L43" s="385"/>
      <c r="M43" s="385"/>
      <c r="N43" s="385"/>
      <c r="O43" s="9">
        <f>K43*'Carichi unitari'!$C$17</f>
        <v>24.945129870129872</v>
      </c>
      <c r="P43" s="9"/>
      <c r="Q43" s="9">
        <f>O43*$E$25</f>
        <v>32.428668831168835</v>
      </c>
      <c r="R43" s="281">
        <f>O43</f>
        <v>24.945129870129872</v>
      </c>
      <c r="S43" s="388">
        <v>5</v>
      </c>
      <c r="T43" s="385"/>
      <c r="U43" s="385"/>
      <c r="V43" s="385"/>
      <c r="W43" s="9">
        <f>S43*'Carichi unitari'!$C$17</f>
        <v>24.945129870129872</v>
      </c>
      <c r="X43" s="9"/>
      <c r="Y43" s="9">
        <f>W43*$E$25</f>
        <v>32.428668831168835</v>
      </c>
      <c r="Z43" s="281">
        <f>W43</f>
        <v>24.945129870129872</v>
      </c>
      <c r="AA43" s="388">
        <v>5</v>
      </c>
      <c r="AB43" s="385"/>
      <c r="AC43" s="385"/>
      <c r="AD43" s="385"/>
      <c r="AE43" s="9">
        <f>AA43*'Carichi unitari'!$C$18</f>
        <v>21.195129870129868</v>
      </c>
      <c r="AF43" s="9"/>
      <c r="AG43" s="9">
        <f>AE43*$E$25</f>
        <v>27.553668831168828</v>
      </c>
      <c r="AH43" s="281">
        <f>AE43</f>
        <v>21.195129870129868</v>
      </c>
      <c r="AI43" s="388">
        <v>5</v>
      </c>
      <c r="AJ43" s="385"/>
      <c r="AK43" s="385"/>
      <c r="AL43" s="385"/>
      <c r="AM43" s="9">
        <f>AI43*'Carichi unitari'!$C$18</f>
        <v>21.195129870129868</v>
      </c>
      <c r="AN43" s="9"/>
      <c r="AO43" s="9">
        <f>AM43*$E$25</f>
        <v>27.553668831168828</v>
      </c>
      <c r="AP43" s="281">
        <f>AM43</f>
        <v>21.195129870129868</v>
      </c>
      <c r="AQ43" s="388">
        <v>5</v>
      </c>
      <c r="AR43" s="385"/>
      <c r="AS43" s="385"/>
      <c r="AT43" s="385"/>
      <c r="AU43" s="9">
        <f>AQ43*'Carichi unitari'!$C$19</f>
        <v>17.445129870129872</v>
      </c>
      <c r="AV43" s="9"/>
      <c r="AW43" s="9">
        <f>AU43*$E$25</f>
        <v>22.678668831168835</v>
      </c>
      <c r="AX43" s="281">
        <f>AU43</f>
        <v>17.445129870129872</v>
      </c>
    </row>
    <row r="44" spans="2:50" x14ac:dyDescent="0.3">
      <c r="B44" s="383" t="s">
        <v>359</v>
      </c>
      <c r="C44" s="388"/>
      <c r="D44" s="385"/>
      <c r="E44" s="385"/>
      <c r="F44" s="385"/>
      <c r="G44" s="9"/>
      <c r="H44" s="9"/>
      <c r="I44" s="9"/>
      <c r="J44" s="281"/>
      <c r="K44" s="388"/>
      <c r="L44" s="385"/>
      <c r="M44" s="385"/>
      <c r="N44" s="385"/>
      <c r="O44" s="9"/>
      <c r="P44" s="9"/>
      <c r="Q44" s="9"/>
      <c r="R44" s="281"/>
      <c r="S44" s="388"/>
      <c r="T44" s="385"/>
      <c r="U44" s="385"/>
      <c r="V44" s="385"/>
      <c r="W44" s="9"/>
      <c r="X44" s="9"/>
      <c r="Y44" s="9"/>
      <c r="Z44" s="281"/>
      <c r="AA44" s="388"/>
      <c r="AB44" s="385"/>
      <c r="AC44" s="385"/>
      <c r="AD44" s="385"/>
      <c r="AE44" s="9"/>
      <c r="AF44" s="9"/>
      <c r="AG44" s="9"/>
      <c r="AH44" s="281"/>
      <c r="AI44" s="388"/>
      <c r="AJ44" s="385"/>
      <c r="AK44" s="385"/>
      <c r="AL44" s="385"/>
      <c r="AM44" s="9"/>
      <c r="AN44" s="9"/>
      <c r="AO44" s="9"/>
      <c r="AP44" s="281"/>
      <c r="AQ44" s="388"/>
      <c r="AR44" s="385"/>
      <c r="AS44" s="385"/>
      <c r="AT44" s="385"/>
      <c r="AU44" s="9"/>
      <c r="AV44" s="9"/>
      <c r="AW44" s="9"/>
      <c r="AX44" s="281"/>
    </row>
    <row r="45" spans="2:50" x14ac:dyDescent="0.3">
      <c r="B45" s="383" t="s">
        <v>247</v>
      </c>
      <c r="C45" s="388"/>
      <c r="D45" s="385"/>
      <c r="E45" s="385"/>
      <c r="F45" s="385"/>
      <c r="G45" s="9">
        <f>'Carichi unitari'!$C$23</f>
        <v>16.799999999999997</v>
      </c>
      <c r="H45" s="9"/>
      <c r="I45" s="9">
        <f>G45*$E$25</f>
        <v>21.839999999999996</v>
      </c>
      <c r="J45" s="281">
        <f>G45</f>
        <v>16.799999999999997</v>
      </c>
      <c r="K45" s="388"/>
      <c r="L45" s="385"/>
      <c r="M45" s="385"/>
      <c r="N45" s="385"/>
      <c r="O45" s="9">
        <f>'Carichi unitari'!$C$24</f>
        <v>14.400000000000002</v>
      </c>
      <c r="P45" s="9"/>
      <c r="Q45" s="9">
        <f>O45*$E$25</f>
        <v>18.720000000000002</v>
      </c>
      <c r="R45" s="281">
        <f>O45</f>
        <v>14.400000000000002</v>
      </c>
      <c r="S45" s="388"/>
      <c r="T45" s="385"/>
      <c r="U45" s="385"/>
      <c r="V45" s="385"/>
      <c r="W45" s="9">
        <f>'Carichi unitari'!$C$25</f>
        <v>13.125</v>
      </c>
      <c r="X45" s="9"/>
      <c r="Y45" s="9">
        <f>W45*$E$25</f>
        <v>17.0625</v>
      </c>
      <c r="Z45" s="281">
        <f>W45</f>
        <v>13.125</v>
      </c>
      <c r="AA45" s="388"/>
      <c r="AB45" s="385"/>
      <c r="AC45" s="385"/>
      <c r="AD45" s="385"/>
      <c r="AE45" s="9">
        <f>'Carichi unitari'!$C$25</f>
        <v>13.125</v>
      </c>
      <c r="AF45" s="9"/>
      <c r="AG45" s="9">
        <f>AE45*$E$25</f>
        <v>17.0625</v>
      </c>
      <c r="AH45" s="281">
        <f>AE45</f>
        <v>13.125</v>
      </c>
      <c r="AI45" s="388"/>
      <c r="AJ45" s="385"/>
      <c r="AK45" s="385"/>
      <c r="AL45" s="385"/>
      <c r="AM45" s="9">
        <f>'Carichi unitari'!$C$26</f>
        <v>11.700000000000001</v>
      </c>
      <c r="AN45" s="9"/>
      <c r="AO45" s="9">
        <f>AM45*$E$25</f>
        <v>15.210000000000003</v>
      </c>
      <c r="AP45" s="281">
        <f>AM45</f>
        <v>11.700000000000001</v>
      </c>
      <c r="AQ45" s="388"/>
      <c r="AR45" s="385"/>
      <c r="AS45" s="385"/>
      <c r="AT45" s="385"/>
      <c r="AU45" s="9"/>
      <c r="AV45" s="9"/>
      <c r="AW45" s="9"/>
      <c r="AX45" s="281"/>
    </row>
    <row r="46" spans="2:50" ht="15" thickBot="1" x14ac:dyDescent="0.35">
      <c r="B46" s="384" t="s">
        <v>380</v>
      </c>
      <c r="C46" s="425"/>
      <c r="D46" s="426"/>
      <c r="E46" s="426"/>
      <c r="F46" s="426"/>
      <c r="G46" s="310"/>
      <c r="H46" s="310"/>
      <c r="I46" s="353">
        <f>SUM(I39:I45)</f>
        <v>230.18639073660717</v>
      </c>
      <c r="J46" s="354">
        <f>SUM(J39:J45)</f>
        <v>154.01260825892859</v>
      </c>
      <c r="K46" s="425"/>
      <c r="L46" s="426"/>
      <c r="M46" s="426"/>
      <c r="N46" s="426"/>
      <c r="O46" s="310"/>
      <c r="P46" s="310"/>
      <c r="Q46" s="353">
        <f>SUM(Q39:Q45)</f>
        <v>282.43387981570993</v>
      </c>
      <c r="R46" s="354">
        <f>SUM(R39:R45)</f>
        <v>183.58990755054609</v>
      </c>
      <c r="S46" s="425"/>
      <c r="T46" s="426"/>
      <c r="U46" s="426"/>
      <c r="V46" s="426"/>
      <c r="W46" s="310"/>
      <c r="X46" s="310"/>
      <c r="Y46" s="353">
        <f>SUM(Y39:Y45)</f>
        <v>280.7763798157099</v>
      </c>
      <c r="Z46" s="354">
        <f>SUM(Z39:Z45)</f>
        <v>182.31490755054608</v>
      </c>
      <c r="AA46" s="425"/>
      <c r="AB46" s="426"/>
      <c r="AC46" s="426"/>
      <c r="AD46" s="426"/>
      <c r="AE46" s="310"/>
      <c r="AF46" s="310"/>
      <c r="AG46" s="353">
        <f>SUM(AG39:AG45)</f>
        <v>275.9013798157099</v>
      </c>
      <c r="AH46" s="354">
        <f>SUM(AH39:AH45)</f>
        <v>178.56490755054608</v>
      </c>
      <c r="AI46" s="425"/>
      <c r="AJ46" s="426"/>
      <c r="AK46" s="426"/>
      <c r="AL46" s="426"/>
      <c r="AM46" s="310"/>
      <c r="AN46" s="310"/>
      <c r="AO46" s="353">
        <f>SUM(AO39:AO45)</f>
        <v>274.04887981570988</v>
      </c>
      <c r="AP46" s="354">
        <f>SUM(AP39:AP45)</f>
        <v>177.13990755054607</v>
      </c>
      <c r="AQ46" s="425"/>
      <c r="AR46" s="426"/>
      <c r="AS46" s="426"/>
      <c r="AT46" s="426"/>
      <c r="AU46" s="310"/>
      <c r="AV46" s="310"/>
      <c r="AW46" s="353">
        <f>SUM(AW39:AW45)</f>
        <v>179.20785714285716</v>
      </c>
      <c r="AX46" s="354">
        <f>SUM(AX39:AX45)</f>
        <v>114.52142857142859</v>
      </c>
    </row>
    <row r="47" spans="2:50" ht="16.2" thickBot="1" x14ac:dyDescent="0.35">
      <c r="C47" s="602" t="s">
        <v>381</v>
      </c>
      <c r="D47" s="603"/>
      <c r="E47" s="603"/>
      <c r="F47" s="603"/>
      <c r="G47" s="603"/>
      <c r="H47" s="603"/>
      <c r="I47" s="603"/>
      <c r="J47" s="603"/>
      <c r="K47" s="602" t="s">
        <v>382</v>
      </c>
      <c r="L47" s="603"/>
      <c r="M47" s="603"/>
      <c r="N47" s="603"/>
      <c r="O47" s="603"/>
      <c r="P47" s="603"/>
      <c r="Q47" s="603"/>
      <c r="R47" s="603"/>
      <c r="S47" s="602" t="s">
        <v>383</v>
      </c>
      <c r="T47" s="603"/>
      <c r="U47" s="603"/>
      <c r="V47" s="603"/>
      <c r="W47" s="603"/>
      <c r="X47" s="603"/>
      <c r="Y47" s="603"/>
      <c r="Z47" s="603"/>
      <c r="AA47" s="602" t="s">
        <v>384</v>
      </c>
      <c r="AB47" s="603"/>
      <c r="AC47" s="603"/>
      <c r="AD47" s="603"/>
      <c r="AE47" s="603"/>
      <c r="AF47" s="603"/>
      <c r="AG47" s="603"/>
      <c r="AH47" s="603"/>
      <c r="AI47" s="602" t="s">
        <v>385</v>
      </c>
      <c r="AJ47" s="603"/>
      <c r="AK47" s="603"/>
      <c r="AL47" s="603"/>
      <c r="AM47" s="603"/>
      <c r="AN47" s="603"/>
      <c r="AO47" s="603"/>
      <c r="AP47" s="603"/>
      <c r="AQ47" s="602" t="s">
        <v>386</v>
      </c>
      <c r="AR47" s="603"/>
      <c r="AS47" s="603"/>
      <c r="AT47" s="603"/>
      <c r="AU47" s="603"/>
      <c r="AV47" s="603"/>
      <c r="AW47" s="603"/>
      <c r="AX47" s="603"/>
    </row>
    <row r="48" spans="2:50" ht="46.2" thickBot="1" x14ac:dyDescent="0.35">
      <c r="B48" s="379" t="s">
        <v>388</v>
      </c>
      <c r="C48" s="313" t="s">
        <v>241</v>
      </c>
      <c r="D48" s="314" t="s">
        <v>242</v>
      </c>
      <c r="E48" s="313" t="s">
        <v>241</v>
      </c>
      <c r="F48" s="314" t="s">
        <v>242</v>
      </c>
      <c r="G48" s="315" t="s">
        <v>8</v>
      </c>
      <c r="H48" s="315" t="s">
        <v>9</v>
      </c>
      <c r="I48" s="316" t="s">
        <v>253</v>
      </c>
      <c r="J48" s="317" t="s">
        <v>254</v>
      </c>
      <c r="K48" s="313" t="s">
        <v>241</v>
      </c>
      <c r="L48" s="314" t="s">
        <v>242</v>
      </c>
      <c r="M48" s="313" t="s">
        <v>241</v>
      </c>
      <c r="N48" s="314" t="s">
        <v>242</v>
      </c>
      <c r="O48" s="315" t="s">
        <v>8</v>
      </c>
      <c r="P48" s="315" t="s">
        <v>9</v>
      </c>
      <c r="Q48" s="316" t="s">
        <v>253</v>
      </c>
      <c r="R48" s="317" t="s">
        <v>254</v>
      </c>
      <c r="S48" s="313" t="s">
        <v>241</v>
      </c>
      <c r="T48" s="314" t="s">
        <v>242</v>
      </c>
      <c r="U48" s="313" t="s">
        <v>241</v>
      </c>
      <c r="V48" s="314" t="s">
        <v>242</v>
      </c>
      <c r="W48" s="315" t="s">
        <v>8</v>
      </c>
      <c r="X48" s="315" t="s">
        <v>9</v>
      </c>
      <c r="Y48" s="316" t="s">
        <v>253</v>
      </c>
      <c r="Z48" s="317" t="s">
        <v>254</v>
      </c>
      <c r="AA48" s="313" t="s">
        <v>241</v>
      </c>
      <c r="AB48" s="314" t="s">
        <v>242</v>
      </c>
      <c r="AC48" s="313" t="s">
        <v>241</v>
      </c>
      <c r="AD48" s="314" t="s">
        <v>242</v>
      </c>
      <c r="AE48" s="315" t="s">
        <v>8</v>
      </c>
      <c r="AF48" s="315" t="s">
        <v>9</v>
      </c>
      <c r="AG48" s="316" t="s">
        <v>253</v>
      </c>
      <c r="AH48" s="317" t="s">
        <v>254</v>
      </c>
      <c r="AI48" s="313" t="s">
        <v>241</v>
      </c>
      <c r="AJ48" s="314" t="s">
        <v>242</v>
      </c>
      <c r="AK48" s="313" t="s">
        <v>241</v>
      </c>
      <c r="AL48" s="314" t="s">
        <v>242</v>
      </c>
      <c r="AM48" s="315" t="s">
        <v>8</v>
      </c>
      <c r="AN48" s="315" t="s">
        <v>9</v>
      </c>
      <c r="AO48" s="316" t="s">
        <v>253</v>
      </c>
      <c r="AP48" s="317" t="s">
        <v>254</v>
      </c>
      <c r="AQ48" s="313" t="s">
        <v>241</v>
      </c>
      <c r="AR48" s="314" t="s">
        <v>242</v>
      </c>
      <c r="AS48" s="313" t="s">
        <v>241</v>
      </c>
      <c r="AT48" s="314" t="s">
        <v>242</v>
      </c>
      <c r="AU48" s="315" t="s">
        <v>8</v>
      </c>
      <c r="AV48" s="315" t="s">
        <v>9</v>
      </c>
      <c r="AW48" s="316" t="s">
        <v>253</v>
      </c>
      <c r="AX48" s="317" t="s">
        <v>254</v>
      </c>
    </row>
    <row r="49" spans="2:50" x14ac:dyDescent="0.3">
      <c r="B49" s="380" t="s">
        <v>42</v>
      </c>
      <c r="C49" s="386">
        <v>2.5</v>
      </c>
      <c r="D49" s="166">
        <v>1</v>
      </c>
      <c r="E49" s="166">
        <v>2.5</v>
      </c>
      <c r="F49" s="209">
        <v>1</v>
      </c>
      <c r="G49" s="411">
        <f>('Carichi unitari'!$C$11+'Carichi unitari'!$C$10)*C49*D49*E49*F49</f>
        <v>34.387175324675326</v>
      </c>
      <c r="H49" s="357">
        <f>'Carichi unitari'!$D$10*C49*D49*E49*F49</f>
        <v>12.5</v>
      </c>
      <c r="I49" s="411">
        <f>G49*$E$25+H49*$F$25</f>
        <v>63.453327922077925</v>
      </c>
      <c r="J49" s="421">
        <f>G49+H49*$H$24</f>
        <v>38.137175324675326</v>
      </c>
      <c r="K49" s="165">
        <v>2.5</v>
      </c>
      <c r="L49" s="166">
        <v>1.1000000000000001</v>
      </c>
      <c r="M49" s="166">
        <v>2.5</v>
      </c>
      <c r="N49" s="407">
        <v>1</v>
      </c>
      <c r="O49" s="378">
        <f>('Carichi unitari'!$C$11+'Carichi unitari'!$C$10)*K49*L49*M49*N49</f>
        <v>37.825892857142861</v>
      </c>
      <c r="P49" s="319">
        <f>'Carichi unitari'!$D$10*K49*L49*M49*N49</f>
        <v>13.75</v>
      </c>
      <c r="Q49" s="378">
        <f>O49*$E$25+P49*$F$25</f>
        <v>69.798660714285717</v>
      </c>
      <c r="R49" s="320">
        <f>O49+P49*$H$24</f>
        <v>41.950892857142861</v>
      </c>
      <c r="S49" s="165">
        <v>2.5</v>
      </c>
      <c r="T49" s="166">
        <v>1.1000000000000001</v>
      </c>
      <c r="U49" s="166">
        <v>2.5</v>
      </c>
      <c r="V49" s="407">
        <v>1</v>
      </c>
      <c r="W49" s="378">
        <f>('Carichi unitari'!$C$11+'Carichi unitari'!$C$10)*S49*T49*U49*V49</f>
        <v>37.825892857142861</v>
      </c>
      <c r="X49" s="319">
        <f>'Carichi unitari'!$D$10*S49*T49*U49*V49</f>
        <v>13.75</v>
      </c>
      <c r="Y49" s="378">
        <f>W49*$E$25+X49*$F$25</f>
        <v>69.798660714285717</v>
      </c>
      <c r="Z49" s="320">
        <f>W49+X49*$H$24</f>
        <v>41.950892857142861</v>
      </c>
      <c r="AA49" s="165">
        <v>2.5</v>
      </c>
      <c r="AB49" s="166">
        <v>1.1000000000000001</v>
      </c>
      <c r="AC49" s="166">
        <v>2.5</v>
      </c>
      <c r="AD49" s="407">
        <v>1</v>
      </c>
      <c r="AE49" s="378">
        <f>('Carichi unitari'!$C$11+'Carichi unitari'!$C$10)*AA49*AB49*AC49*AD49</f>
        <v>37.825892857142861</v>
      </c>
      <c r="AF49" s="319">
        <f>'Carichi unitari'!$D$10*AA49*AB49*AC49*AD49</f>
        <v>13.75</v>
      </c>
      <c r="AG49" s="378">
        <f>AE49*$E$25+AF49*$F$25</f>
        <v>69.798660714285717</v>
      </c>
      <c r="AH49" s="320">
        <f>AE49+AF49*$H$24</f>
        <v>41.950892857142861</v>
      </c>
      <c r="AI49" s="165">
        <v>2.5</v>
      </c>
      <c r="AJ49" s="166">
        <v>1.1000000000000001</v>
      </c>
      <c r="AK49" s="166">
        <v>2.5</v>
      </c>
      <c r="AL49" s="407">
        <v>1</v>
      </c>
      <c r="AM49" s="378">
        <f>('Carichi unitari'!$C$11+'Carichi unitari'!$C$10)*AI49*AJ49*AK49*AL49</f>
        <v>37.825892857142861</v>
      </c>
      <c r="AN49" s="319">
        <f>'Carichi unitari'!$D$10*AI49*AJ49*AK49*AL49</f>
        <v>13.75</v>
      </c>
      <c r="AO49" s="378">
        <f>AM49*$E$25+AN49*$F$25</f>
        <v>69.798660714285717</v>
      </c>
      <c r="AP49" s="320">
        <f>AM49+AN49*$H$24</f>
        <v>41.950892857142861</v>
      </c>
      <c r="AQ49" s="165">
        <v>2.5</v>
      </c>
      <c r="AR49" s="166">
        <v>1.1000000000000001</v>
      </c>
      <c r="AS49" s="166">
        <v>2.5</v>
      </c>
      <c r="AT49" s="407">
        <v>1</v>
      </c>
      <c r="AU49" s="378">
        <f>('Carichi unitari'!$C$11+'Carichi unitari'!$C$10)*AQ49*AR49*AS49*AT49</f>
        <v>37.825892857142861</v>
      </c>
      <c r="AV49" s="319">
        <f>'Carichi unitari'!$D$10*AQ49*AR49*AS49*AT49</f>
        <v>13.75</v>
      </c>
      <c r="AW49" s="378">
        <f>AU49*$E$25+AV49*$F$25</f>
        <v>69.798660714285717</v>
      </c>
      <c r="AX49" s="320">
        <f>AU49+AV49*$H$24</f>
        <v>41.950892857142861</v>
      </c>
    </row>
    <row r="50" spans="2:50" x14ac:dyDescent="0.3">
      <c r="B50" s="381" t="s">
        <v>42</v>
      </c>
      <c r="C50" s="37">
        <v>2.5</v>
      </c>
      <c r="D50" s="50">
        <v>1.2</v>
      </c>
      <c r="E50" s="50">
        <v>2.5</v>
      </c>
      <c r="F50" s="210">
        <v>1</v>
      </c>
      <c r="G50" s="412">
        <f>('Carichi unitari'!$C$11+'Carichi unitari'!$C$10)*C50*D50*E50*F50</f>
        <v>41.26461038961039</v>
      </c>
      <c r="H50" s="358">
        <f>'Carichi unitari'!$D$10*C50*D50*E50*F50</f>
        <v>15</v>
      </c>
      <c r="I50" s="412">
        <f>G50*$E$25+H50*$F$25</f>
        <v>76.143993506493501</v>
      </c>
      <c r="J50" s="417">
        <f>G50+H50*$H$24</f>
        <v>45.76461038961039</v>
      </c>
      <c r="K50" s="171">
        <v>2.5</v>
      </c>
      <c r="L50" s="50">
        <v>1.1000000000000001</v>
      </c>
      <c r="M50" s="50">
        <v>2.5</v>
      </c>
      <c r="N50" s="302">
        <v>1</v>
      </c>
      <c r="O50" s="329">
        <f>('Carichi unitari'!$C$11+'Carichi unitari'!$C$10)*K50*L50*M50*N50</f>
        <v>37.825892857142861</v>
      </c>
      <c r="P50" s="9">
        <f>'Carichi unitari'!$D$10*K50*L50*M50*N50</f>
        <v>13.75</v>
      </c>
      <c r="Q50" s="329">
        <f>O50*$E$25+P50*$F$25</f>
        <v>69.798660714285717</v>
      </c>
      <c r="R50" s="281">
        <f>O50+P50*$H$24</f>
        <v>41.950892857142861</v>
      </c>
      <c r="S50" s="171">
        <v>2.5</v>
      </c>
      <c r="T50" s="50">
        <v>1.1000000000000001</v>
      </c>
      <c r="U50" s="50">
        <v>2.5</v>
      </c>
      <c r="V50" s="302">
        <v>1</v>
      </c>
      <c r="W50" s="329">
        <f>('Carichi unitari'!$C$11+'Carichi unitari'!$C$10)*S50*T50*U50*V50</f>
        <v>37.825892857142861</v>
      </c>
      <c r="X50" s="9">
        <f>'Carichi unitari'!$D$10*S50*T50*U50*V50</f>
        <v>13.75</v>
      </c>
      <c r="Y50" s="329">
        <f>W50*$E$25+X50*$F$25</f>
        <v>69.798660714285717</v>
      </c>
      <c r="Z50" s="281">
        <f>W50+X50*$H$24</f>
        <v>41.950892857142861</v>
      </c>
      <c r="AA50" s="171">
        <v>2.5</v>
      </c>
      <c r="AB50" s="50">
        <v>1.1000000000000001</v>
      </c>
      <c r="AC50" s="50">
        <v>2.5</v>
      </c>
      <c r="AD50" s="302">
        <v>1</v>
      </c>
      <c r="AE50" s="329">
        <f>('Carichi unitari'!$C$11+'Carichi unitari'!$C$10)*AA50*AB50*AC50*AD50</f>
        <v>37.825892857142861</v>
      </c>
      <c r="AF50" s="9">
        <f>'Carichi unitari'!$D$10*AA50*AB50*AC50*AD50</f>
        <v>13.75</v>
      </c>
      <c r="AG50" s="329">
        <f>AE50*$E$25+AF50*$F$25</f>
        <v>69.798660714285717</v>
      </c>
      <c r="AH50" s="281">
        <f>AE50+AF50*$H$24</f>
        <v>41.950892857142861</v>
      </c>
      <c r="AI50" s="171">
        <v>2.5</v>
      </c>
      <c r="AJ50" s="50">
        <v>1.1000000000000001</v>
      </c>
      <c r="AK50" s="50">
        <v>2.5</v>
      </c>
      <c r="AL50" s="302">
        <v>1</v>
      </c>
      <c r="AM50" s="329">
        <f>('Carichi unitari'!$C$11+'Carichi unitari'!$C$10)*AI50*AJ50*AK50*AL50</f>
        <v>37.825892857142861</v>
      </c>
      <c r="AN50" s="9">
        <f>'Carichi unitari'!$D$10*AI50*AJ50*AK50*AL50</f>
        <v>13.75</v>
      </c>
      <c r="AO50" s="329">
        <f>AM50*$E$25+AN50*$F$25</f>
        <v>69.798660714285717</v>
      </c>
      <c r="AP50" s="281">
        <f>AM50+AN50*$H$24</f>
        <v>41.950892857142861</v>
      </c>
      <c r="AQ50" s="171">
        <v>2.5</v>
      </c>
      <c r="AR50" s="50">
        <v>1.1000000000000001</v>
      </c>
      <c r="AS50" s="50">
        <v>2.5</v>
      </c>
      <c r="AT50" s="302">
        <v>1</v>
      </c>
      <c r="AU50" s="329">
        <f>('Carichi unitari'!$C$11+'Carichi unitari'!$C$10)*AQ50*AR50*AS50*AT50</f>
        <v>37.825892857142861</v>
      </c>
      <c r="AV50" s="9">
        <f>'Carichi unitari'!$D$10*AQ50*AR50*AS50*AT50</f>
        <v>13.75</v>
      </c>
      <c r="AW50" s="329">
        <f>AU50*$E$25+AV50*$F$25</f>
        <v>69.798660714285717</v>
      </c>
      <c r="AX50" s="281">
        <f>AU50+AV50*$H$24</f>
        <v>41.950892857142861</v>
      </c>
    </row>
    <row r="51" spans="2:50" x14ac:dyDescent="0.3">
      <c r="B51" s="381" t="s">
        <v>45</v>
      </c>
      <c r="C51" s="37"/>
      <c r="D51" s="50"/>
      <c r="E51" s="50"/>
      <c r="F51" s="50"/>
      <c r="G51" s="358"/>
      <c r="H51" s="358"/>
      <c r="I51" s="358"/>
      <c r="J51" s="417"/>
      <c r="K51" s="171">
        <v>1.5</v>
      </c>
      <c r="L51" s="50"/>
      <c r="M51" s="50">
        <v>2.5</v>
      </c>
      <c r="N51" s="400"/>
      <c r="O51" s="9">
        <f>'Carichi unitari'!$C$14*K51*M51</f>
        <v>14.739669421487605</v>
      </c>
      <c r="P51" s="9">
        <f>K51*M51*'Carichi unitari'!$D$14</f>
        <v>15</v>
      </c>
      <c r="Q51" s="9">
        <f>O51*$E$25+P51*$F$25</f>
        <v>41.661570247933888</v>
      </c>
      <c r="R51" s="281">
        <f>O51+P51*$I$24</f>
        <v>23.739669421487605</v>
      </c>
      <c r="S51" s="37">
        <v>1.5</v>
      </c>
      <c r="T51" s="400"/>
      <c r="U51" s="400">
        <v>2.5</v>
      </c>
      <c r="V51" s="400"/>
      <c r="W51" s="9">
        <f>'Carichi unitari'!$C$14*S51*U51</f>
        <v>14.739669421487605</v>
      </c>
      <c r="X51" s="9">
        <f>S51*U51*'Carichi unitari'!$D$14</f>
        <v>15</v>
      </c>
      <c r="Y51" s="9">
        <f>W51*$E$25+X51*$F$25</f>
        <v>41.661570247933888</v>
      </c>
      <c r="Z51" s="281">
        <f>W51+X51*$I$24</f>
        <v>23.739669421487605</v>
      </c>
      <c r="AA51" s="37">
        <v>1.5</v>
      </c>
      <c r="AB51" s="400"/>
      <c r="AC51" s="400">
        <v>2.5</v>
      </c>
      <c r="AD51" s="400"/>
      <c r="AE51" s="9">
        <f>'Carichi unitari'!$C$14*AA51*AC51</f>
        <v>14.739669421487605</v>
      </c>
      <c r="AF51" s="9">
        <f>AA51*AC51*'Carichi unitari'!$D$14</f>
        <v>15</v>
      </c>
      <c r="AG51" s="9">
        <f>AE51*$E$25+AF51*$F$25</f>
        <v>41.661570247933888</v>
      </c>
      <c r="AH51" s="281">
        <f>AE51+AF51*$I$24</f>
        <v>23.739669421487605</v>
      </c>
      <c r="AI51" s="37">
        <v>1.5</v>
      </c>
      <c r="AJ51" s="400"/>
      <c r="AK51" s="400">
        <v>2.5</v>
      </c>
      <c r="AL51" s="400"/>
      <c r="AM51" s="9">
        <f>'Carichi unitari'!$C$14*AI51*AK51</f>
        <v>14.739669421487605</v>
      </c>
      <c r="AN51" s="9">
        <f>AI51*AK51*'Carichi unitari'!$D$14</f>
        <v>15</v>
      </c>
      <c r="AO51" s="9">
        <f>AM51*$E$25+AN51*$F$25</f>
        <v>41.661570247933888</v>
      </c>
      <c r="AP51" s="281">
        <f>AM51+AN51*$I$24</f>
        <v>23.739669421487605</v>
      </c>
      <c r="AQ51" s="37">
        <v>0.4</v>
      </c>
      <c r="AR51" s="400"/>
      <c r="AS51" s="400">
        <v>2.5</v>
      </c>
      <c r="AT51" s="400"/>
      <c r="AU51" s="9">
        <f>'Carichi unitari'!C35*AQ51*AS51</f>
        <v>0</v>
      </c>
      <c r="AV51" s="9">
        <f>AQ51*AS51*'Carichi unitari'!$D$15</f>
        <v>0.5</v>
      </c>
      <c r="AW51" s="9">
        <f>AU51*$E$25+AV51*$F$25</f>
        <v>0.75</v>
      </c>
      <c r="AX51" s="281">
        <f>AU51+AV51*$I$24</f>
        <v>0.3</v>
      </c>
    </row>
    <row r="52" spans="2:50" x14ac:dyDescent="0.3">
      <c r="B52" s="383" t="s">
        <v>358</v>
      </c>
      <c r="C52" s="388">
        <v>2.5</v>
      </c>
      <c r="D52" s="385">
        <v>1</v>
      </c>
      <c r="E52" s="385">
        <v>2.5</v>
      </c>
      <c r="F52" s="385">
        <v>1.2</v>
      </c>
      <c r="G52" s="16">
        <f>(C52*D52+E52*F52)*'Carichi unitari'!$C$17</f>
        <v>27.439642857142857</v>
      </c>
      <c r="H52" s="16"/>
      <c r="I52" s="16">
        <f>G52*$E$25</f>
        <v>35.671535714285717</v>
      </c>
      <c r="J52" s="356">
        <f>G52</f>
        <v>27.439642857142857</v>
      </c>
      <c r="K52" s="388">
        <v>2.5</v>
      </c>
      <c r="L52" s="385">
        <v>1</v>
      </c>
      <c r="M52" s="385">
        <v>2.5</v>
      </c>
      <c r="N52" s="385">
        <v>1.1000000000000001</v>
      </c>
      <c r="O52" s="16">
        <f>(K52*L52+M52*N52)*'Carichi unitari'!$C$17</f>
        <v>26.192386363636366</v>
      </c>
      <c r="P52" s="16"/>
      <c r="Q52" s="16">
        <f>O52*$E$25</f>
        <v>34.05010227272728</v>
      </c>
      <c r="R52" s="356">
        <f>O52</f>
        <v>26.192386363636366</v>
      </c>
      <c r="S52" s="388">
        <v>2.5</v>
      </c>
      <c r="T52" s="385">
        <v>1</v>
      </c>
      <c r="U52" s="385">
        <v>2.5</v>
      </c>
      <c r="V52" s="385">
        <v>1.1000000000000001</v>
      </c>
      <c r="W52" s="16">
        <f>(S52*T52+U52*V52)*'Carichi unitari'!$C$17</f>
        <v>26.192386363636366</v>
      </c>
      <c r="X52" s="16"/>
      <c r="Y52" s="16">
        <f>W52*$E$25</f>
        <v>34.05010227272728</v>
      </c>
      <c r="Z52" s="356">
        <f>W52</f>
        <v>26.192386363636366</v>
      </c>
      <c r="AA52" s="388">
        <v>2.5</v>
      </c>
      <c r="AB52" s="385">
        <v>1</v>
      </c>
      <c r="AC52" s="385">
        <v>2.5</v>
      </c>
      <c r="AD52" s="385">
        <v>1.1000000000000001</v>
      </c>
      <c r="AE52" s="16">
        <f>(AA52*AB52+AC52*AD52)*'Carichi unitari'!$C$18</f>
        <v>22.254886363636359</v>
      </c>
      <c r="AF52" s="16"/>
      <c r="AG52" s="16">
        <f>AE52*$E$25</f>
        <v>28.931352272727267</v>
      </c>
      <c r="AH52" s="356">
        <f>AE52</f>
        <v>22.254886363636359</v>
      </c>
      <c r="AI52" s="388">
        <v>2.5</v>
      </c>
      <c r="AJ52" s="385">
        <v>1</v>
      </c>
      <c r="AK52" s="385">
        <v>2.5</v>
      </c>
      <c r="AL52" s="385">
        <v>1.1000000000000001</v>
      </c>
      <c r="AM52" s="16">
        <f>(AI52*AJ52+AK52*AL52)*'Carichi unitari'!$C$18</f>
        <v>22.254886363636359</v>
      </c>
      <c r="AN52" s="16"/>
      <c r="AO52" s="16">
        <f>AM52*$E$25</f>
        <v>28.931352272727267</v>
      </c>
      <c r="AP52" s="356">
        <f>AM52</f>
        <v>22.254886363636359</v>
      </c>
      <c r="AQ52" s="388">
        <v>2.5</v>
      </c>
      <c r="AR52" s="385">
        <v>1</v>
      </c>
      <c r="AS52" s="385">
        <v>2.5</v>
      </c>
      <c r="AT52" s="385">
        <v>1.1000000000000001</v>
      </c>
      <c r="AU52" s="16">
        <f>(AQ52*AR52+AS52*AT52)*'Carichi unitari'!$C$19</f>
        <v>18.317386363636366</v>
      </c>
      <c r="AV52" s="16"/>
      <c r="AW52" s="16">
        <f>AU52*$E$25</f>
        <v>23.812602272727275</v>
      </c>
      <c r="AX52" s="356">
        <f>AU52</f>
        <v>18.317386363636366</v>
      </c>
    </row>
    <row r="53" spans="2:50" x14ac:dyDescent="0.3">
      <c r="B53" s="383" t="s">
        <v>359</v>
      </c>
      <c r="C53" s="388">
        <v>2.5</v>
      </c>
      <c r="D53" s="385">
        <v>1</v>
      </c>
      <c r="E53" s="385"/>
      <c r="F53" s="385"/>
      <c r="G53" s="9">
        <f>(C53*D53+E53*F53)*'Carichi unitari'!$C$21</f>
        <v>4.6170779220779217</v>
      </c>
      <c r="H53" s="9"/>
      <c r="I53" s="9">
        <f>G53*$E$25</f>
        <v>6.0022012987012987</v>
      </c>
      <c r="J53" s="281">
        <f>G53</f>
        <v>4.6170779220779217</v>
      </c>
      <c r="K53" s="388">
        <v>2.5</v>
      </c>
      <c r="L53" s="385">
        <v>1.1000000000000001</v>
      </c>
      <c r="M53" s="385"/>
      <c r="N53" s="385"/>
      <c r="O53" s="9">
        <f>(K53*L53+M53*N53)*'Carichi unitari'!$C$21</f>
        <v>5.0787857142857131</v>
      </c>
      <c r="P53" s="9"/>
      <c r="Q53" s="9">
        <f>O53*$E$25</f>
        <v>6.6024214285714269</v>
      </c>
      <c r="R53" s="281">
        <f>O53</f>
        <v>5.0787857142857131</v>
      </c>
      <c r="S53" s="388">
        <v>2.5</v>
      </c>
      <c r="T53" s="385">
        <v>1.1000000000000001</v>
      </c>
      <c r="U53" s="385"/>
      <c r="V53" s="385"/>
      <c r="W53" s="9">
        <f>(S53*T53+U53*V53)*'Carichi unitari'!$C$21</f>
        <v>5.0787857142857131</v>
      </c>
      <c r="X53" s="9"/>
      <c r="Y53" s="9">
        <f>W53*$E$25</f>
        <v>6.6024214285714269</v>
      </c>
      <c r="Z53" s="281">
        <f>W53</f>
        <v>5.0787857142857131</v>
      </c>
      <c r="AA53" s="388">
        <v>2.5</v>
      </c>
      <c r="AB53" s="385">
        <v>1.1000000000000001</v>
      </c>
      <c r="AC53" s="385"/>
      <c r="AD53" s="385"/>
      <c r="AE53" s="9">
        <f>(AA53*AB53+AC53*AD53)*'Carichi unitari'!$C$21</f>
        <v>5.0787857142857131</v>
      </c>
      <c r="AF53" s="9"/>
      <c r="AG53" s="9">
        <f>AE53*$E$25</f>
        <v>6.6024214285714269</v>
      </c>
      <c r="AH53" s="281">
        <f>AE53</f>
        <v>5.0787857142857131</v>
      </c>
      <c r="AI53" s="388">
        <v>2.5</v>
      </c>
      <c r="AJ53" s="385">
        <v>1.1000000000000001</v>
      </c>
      <c r="AK53" s="385"/>
      <c r="AL53" s="385"/>
      <c r="AM53" s="9">
        <f>(AI53*AJ53+AK53*AL53)*'Carichi unitari'!$C$21</f>
        <v>5.0787857142857131</v>
      </c>
      <c r="AN53" s="9"/>
      <c r="AO53" s="9">
        <f>AM53*$E$25</f>
        <v>6.6024214285714269</v>
      </c>
      <c r="AP53" s="281">
        <f>AM53</f>
        <v>5.0787857142857131</v>
      </c>
      <c r="AQ53" s="388">
        <v>2.5</v>
      </c>
      <c r="AR53" s="385">
        <v>1.1000000000000001</v>
      </c>
      <c r="AS53" s="385"/>
      <c r="AT53" s="385"/>
      <c r="AU53" s="9">
        <f>(AQ53*AR53+AS53*AT53)*'Carichi unitari'!$C$21</f>
        <v>5.0787857142857131</v>
      </c>
      <c r="AV53" s="9"/>
      <c r="AW53" s="9">
        <f>AU53*$E$25</f>
        <v>6.6024214285714269</v>
      </c>
      <c r="AX53" s="281">
        <f>AU53</f>
        <v>5.0787857142857131</v>
      </c>
    </row>
    <row r="54" spans="2:50" x14ac:dyDescent="0.3">
      <c r="B54" s="382" t="s">
        <v>357</v>
      </c>
      <c r="C54" s="388">
        <v>5</v>
      </c>
      <c r="D54" s="385"/>
      <c r="E54" s="385"/>
      <c r="F54" s="385"/>
      <c r="G54" s="9">
        <f>C54*'Carichi unitari'!$C$22</f>
        <v>29.891179687500006</v>
      </c>
      <c r="H54" s="9"/>
      <c r="I54" s="9">
        <f>G54*$E$25</f>
        <v>38.85853359375001</v>
      </c>
      <c r="J54" s="281">
        <f>G54</f>
        <v>29.891179687500006</v>
      </c>
      <c r="K54" s="388">
        <v>5</v>
      </c>
      <c r="L54" s="385"/>
      <c r="M54" s="385"/>
      <c r="N54" s="385"/>
      <c r="O54" s="9">
        <f>K54*'Carichi unitari'!$C$22</f>
        <v>29.891179687500006</v>
      </c>
      <c r="P54" s="9"/>
      <c r="Q54" s="9">
        <f>O54*$E$25</f>
        <v>38.85853359375001</v>
      </c>
      <c r="R54" s="281">
        <f>O54</f>
        <v>29.891179687500006</v>
      </c>
      <c r="S54" s="388">
        <v>5</v>
      </c>
      <c r="T54" s="385"/>
      <c r="U54" s="385"/>
      <c r="V54" s="385"/>
      <c r="W54" s="9">
        <f>S54*'Carichi unitari'!$C$22</f>
        <v>29.891179687500006</v>
      </c>
      <c r="X54" s="9"/>
      <c r="Y54" s="9">
        <f>W54*$E$25</f>
        <v>38.85853359375001</v>
      </c>
      <c r="Z54" s="281">
        <f>W54</f>
        <v>29.891179687500006</v>
      </c>
      <c r="AA54" s="388">
        <v>5</v>
      </c>
      <c r="AB54" s="385"/>
      <c r="AC54" s="385"/>
      <c r="AD54" s="385"/>
      <c r="AE54" s="9">
        <f>AA54*'Carichi unitari'!$C$22</f>
        <v>29.891179687500006</v>
      </c>
      <c r="AF54" s="9"/>
      <c r="AG54" s="9">
        <f>AE54*$E$25</f>
        <v>38.85853359375001</v>
      </c>
      <c r="AH54" s="281">
        <f>AE54</f>
        <v>29.891179687500006</v>
      </c>
      <c r="AI54" s="388">
        <v>5</v>
      </c>
      <c r="AJ54" s="385"/>
      <c r="AK54" s="385"/>
      <c r="AL54" s="385"/>
      <c r="AM54" s="9">
        <f>AI54*'Carichi unitari'!$C$22</f>
        <v>29.891179687500006</v>
      </c>
      <c r="AN54" s="9"/>
      <c r="AO54" s="9">
        <f>AM54*$E$25</f>
        <v>38.85853359375001</v>
      </c>
      <c r="AP54" s="281">
        <f>AM54</f>
        <v>29.891179687500006</v>
      </c>
      <c r="AQ54" s="388"/>
      <c r="AR54" s="385"/>
      <c r="AS54" s="385"/>
      <c r="AT54" s="385"/>
      <c r="AU54" s="9"/>
      <c r="AV54" s="9"/>
      <c r="AW54" s="9"/>
      <c r="AX54" s="281"/>
    </row>
    <row r="55" spans="2:50" x14ac:dyDescent="0.3">
      <c r="B55" s="383" t="s">
        <v>247</v>
      </c>
      <c r="C55" s="388"/>
      <c r="D55" s="385"/>
      <c r="E55" s="385"/>
      <c r="F55" s="385"/>
      <c r="G55" s="9">
        <f>'Carichi unitari'!$C$23</f>
        <v>16.799999999999997</v>
      </c>
      <c r="H55" s="9"/>
      <c r="I55" s="9">
        <f>G55*$E$25</f>
        <v>21.839999999999996</v>
      </c>
      <c r="J55" s="281">
        <f>G55</f>
        <v>16.799999999999997</v>
      </c>
      <c r="K55" s="388"/>
      <c r="L55" s="385"/>
      <c r="M55" s="385"/>
      <c r="N55" s="385"/>
      <c r="O55" s="9">
        <f>'Carichi unitari'!$C$24</f>
        <v>14.400000000000002</v>
      </c>
      <c r="P55" s="9"/>
      <c r="Q55" s="9">
        <f>O55*$E$25</f>
        <v>18.720000000000002</v>
      </c>
      <c r="R55" s="281">
        <f>O55</f>
        <v>14.400000000000002</v>
      </c>
      <c r="S55" s="388"/>
      <c r="T55" s="385"/>
      <c r="U55" s="385"/>
      <c r="V55" s="385"/>
      <c r="W55" s="9">
        <f>'Carichi unitari'!$C$25</f>
        <v>13.125</v>
      </c>
      <c r="X55" s="9"/>
      <c r="Y55" s="9">
        <f>W55*$E$25</f>
        <v>17.0625</v>
      </c>
      <c r="Z55" s="281">
        <f>W55</f>
        <v>13.125</v>
      </c>
      <c r="AA55" s="388"/>
      <c r="AB55" s="385"/>
      <c r="AC55" s="385"/>
      <c r="AD55" s="385"/>
      <c r="AE55" s="9">
        <f>'Carichi unitari'!$C$25</f>
        <v>13.125</v>
      </c>
      <c r="AF55" s="9"/>
      <c r="AG55" s="9">
        <f>AE55*$E$25</f>
        <v>17.0625</v>
      </c>
      <c r="AH55" s="281">
        <f>AE55</f>
        <v>13.125</v>
      </c>
      <c r="AI55" s="388"/>
      <c r="AJ55" s="385"/>
      <c r="AK55" s="385"/>
      <c r="AL55" s="385"/>
      <c r="AM55" s="9">
        <f>'Carichi unitari'!$C$26</f>
        <v>11.700000000000001</v>
      </c>
      <c r="AN55" s="9"/>
      <c r="AO55" s="9">
        <f>AM55*$E$25</f>
        <v>15.210000000000003</v>
      </c>
      <c r="AP55" s="281">
        <f>AM55</f>
        <v>11.700000000000001</v>
      </c>
      <c r="AQ55" s="388"/>
      <c r="AR55" s="385"/>
      <c r="AS55" s="385"/>
      <c r="AT55" s="385"/>
      <c r="AU55" s="9">
        <f>'Carichi unitari'!$C$26</f>
        <v>11.700000000000001</v>
      </c>
      <c r="AV55" s="9"/>
      <c r="AW55" s="9">
        <f>AU55*$E$25</f>
        <v>15.210000000000003</v>
      </c>
      <c r="AX55" s="281">
        <f>AU55</f>
        <v>11.700000000000001</v>
      </c>
    </row>
    <row r="56" spans="2:50" ht="15" thickBot="1" x14ac:dyDescent="0.35">
      <c r="B56" s="384" t="s">
        <v>380</v>
      </c>
      <c r="C56" s="389"/>
      <c r="D56" s="390"/>
      <c r="E56" s="390"/>
      <c r="F56" s="390"/>
      <c r="G56" s="301"/>
      <c r="H56" s="301"/>
      <c r="I56" s="350">
        <f>SUM(I49:I55)</f>
        <v>241.96959203530847</v>
      </c>
      <c r="J56" s="352">
        <f>SUM(J49:J55)</f>
        <v>162.64968618100653</v>
      </c>
      <c r="K56" s="389"/>
      <c r="L56" s="390"/>
      <c r="M56" s="390"/>
      <c r="N56" s="390"/>
      <c r="O56" s="301"/>
      <c r="P56" s="301"/>
      <c r="Q56" s="350">
        <f>SUM(Q49:Q55)</f>
        <v>279.4899489715541</v>
      </c>
      <c r="R56" s="352">
        <f>SUM(R49:R55)</f>
        <v>183.20380690119541</v>
      </c>
      <c r="S56" s="389"/>
      <c r="T56" s="390"/>
      <c r="U56" s="390"/>
      <c r="V56" s="390"/>
      <c r="W56" s="301"/>
      <c r="X56" s="301"/>
      <c r="Y56" s="350">
        <f>SUM(Y49:Y55)</f>
        <v>277.83244897155407</v>
      </c>
      <c r="Z56" s="352">
        <f>SUM(Z49:Z55)</f>
        <v>181.9288069011954</v>
      </c>
      <c r="AA56" s="389"/>
      <c r="AB56" s="390"/>
      <c r="AC56" s="390"/>
      <c r="AD56" s="390"/>
      <c r="AE56" s="301"/>
      <c r="AF56" s="301"/>
      <c r="AG56" s="350">
        <f>SUM(AG49:AG55)</f>
        <v>272.71369897155404</v>
      </c>
      <c r="AH56" s="352">
        <f>SUM(AH49:AH55)</f>
        <v>177.9913069011954</v>
      </c>
      <c r="AI56" s="389"/>
      <c r="AJ56" s="390"/>
      <c r="AK56" s="390"/>
      <c r="AL56" s="390"/>
      <c r="AM56" s="301"/>
      <c r="AN56" s="301"/>
      <c r="AO56" s="350">
        <f>SUM(AO49:AO55)</f>
        <v>270.86119897155402</v>
      </c>
      <c r="AP56" s="352">
        <f>SUM(AP49:AP55)</f>
        <v>176.56630690119539</v>
      </c>
      <c r="AQ56" s="389"/>
      <c r="AR56" s="390"/>
      <c r="AS56" s="390"/>
      <c r="AT56" s="390"/>
      <c r="AU56" s="301"/>
      <c r="AV56" s="301"/>
      <c r="AW56" s="350">
        <f>SUM(AW49:AW55)</f>
        <v>185.97234512987015</v>
      </c>
      <c r="AX56" s="352">
        <f>SUM(AX49:AX55)</f>
        <v>119.29795779220781</v>
      </c>
    </row>
    <row r="57" spans="2:50" ht="16.2" thickBot="1" x14ac:dyDescent="0.35">
      <c r="C57" s="602" t="s">
        <v>381</v>
      </c>
      <c r="D57" s="603"/>
      <c r="E57" s="603"/>
      <c r="F57" s="603"/>
      <c r="G57" s="603"/>
      <c r="H57" s="603"/>
      <c r="I57" s="603"/>
      <c r="J57" s="603"/>
      <c r="K57" s="602" t="s">
        <v>382</v>
      </c>
      <c r="L57" s="603"/>
      <c r="M57" s="603"/>
      <c r="N57" s="603"/>
      <c r="O57" s="603"/>
      <c r="P57" s="603"/>
      <c r="Q57" s="603"/>
      <c r="R57" s="603"/>
      <c r="S57" s="602" t="s">
        <v>383</v>
      </c>
      <c r="T57" s="603"/>
      <c r="U57" s="603"/>
      <c r="V57" s="603"/>
      <c r="W57" s="603"/>
      <c r="X57" s="603"/>
      <c r="Y57" s="603"/>
      <c r="Z57" s="603"/>
      <c r="AA57" s="602" t="s">
        <v>384</v>
      </c>
      <c r="AB57" s="603"/>
      <c r="AC57" s="603"/>
      <c r="AD57" s="603"/>
      <c r="AE57" s="603"/>
      <c r="AF57" s="603"/>
      <c r="AG57" s="603"/>
      <c r="AH57" s="603"/>
      <c r="AI57" s="602" t="s">
        <v>385</v>
      </c>
      <c r="AJ57" s="603"/>
      <c r="AK57" s="603"/>
      <c r="AL57" s="603"/>
      <c r="AM57" s="603"/>
      <c r="AN57" s="603"/>
      <c r="AO57" s="603"/>
      <c r="AP57" s="603"/>
      <c r="AQ57" s="602" t="s">
        <v>386</v>
      </c>
      <c r="AR57" s="603"/>
      <c r="AS57" s="603"/>
      <c r="AT57" s="603"/>
      <c r="AU57" s="603"/>
      <c r="AV57" s="603"/>
      <c r="AW57" s="603"/>
      <c r="AX57" s="603"/>
    </row>
    <row r="58" spans="2:50" ht="46.2" thickBot="1" x14ac:dyDescent="0.35">
      <c r="B58" s="379" t="s">
        <v>375</v>
      </c>
      <c r="C58" s="313" t="s">
        <v>241</v>
      </c>
      <c r="D58" s="314" t="s">
        <v>242</v>
      </c>
      <c r="E58" s="313" t="s">
        <v>241</v>
      </c>
      <c r="F58" s="314" t="s">
        <v>242</v>
      </c>
      <c r="G58" s="315" t="s">
        <v>8</v>
      </c>
      <c r="H58" s="315" t="s">
        <v>9</v>
      </c>
      <c r="I58" s="316" t="s">
        <v>253</v>
      </c>
      <c r="J58" s="317" t="s">
        <v>254</v>
      </c>
      <c r="K58" s="313" t="s">
        <v>241</v>
      </c>
      <c r="L58" s="314" t="s">
        <v>242</v>
      </c>
      <c r="M58" s="313" t="s">
        <v>241</v>
      </c>
      <c r="N58" s="314" t="s">
        <v>242</v>
      </c>
      <c r="O58" s="315" t="s">
        <v>8</v>
      </c>
      <c r="P58" s="315" t="s">
        <v>9</v>
      </c>
      <c r="Q58" s="316" t="s">
        <v>253</v>
      </c>
      <c r="R58" s="317" t="s">
        <v>254</v>
      </c>
      <c r="S58" s="313" t="s">
        <v>241</v>
      </c>
      <c r="T58" s="314" t="s">
        <v>242</v>
      </c>
      <c r="U58" s="313" t="s">
        <v>241</v>
      </c>
      <c r="V58" s="314" t="s">
        <v>242</v>
      </c>
      <c r="W58" s="315" t="s">
        <v>8</v>
      </c>
      <c r="X58" s="315" t="s">
        <v>9</v>
      </c>
      <c r="Y58" s="316" t="s">
        <v>253</v>
      </c>
      <c r="Z58" s="317" t="s">
        <v>254</v>
      </c>
      <c r="AA58" s="313" t="s">
        <v>241</v>
      </c>
      <c r="AB58" s="314" t="s">
        <v>242</v>
      </c>
      <c r="AC58" s="313" t="s">
        <v>241</v>
      </c>
      <c r="AD58" s="314" t="s">
        <v>242</v>
      </c>
      <c r="AE58" s="315" t="s">
        <v>8</v>
      </c>
      <c r="AF58" s="315" t="s">
        <v>9</v>
      </c>
      <c r="AG58" s="316" t="s">
        <v>253</v>
      </c>
      <c r="AH58" s="317" t="s">
        <v>254</v>
      </c>
      <c r="AI58" s="313" t="s">
        <v>241</v>
      </c>
      <c r="AJ58" s="314" t="s">
        <v>242</v>
      </c>
      <c r="AK58" s="313" t="s">
        <v>241</v>
      </c>
      <c r="AL58" s="314" t="s">
        <v>242</v>
      </c>
      <c r="AM58" s="315" t="s">
        <v>8</v>
      </c>
      <c r="AN58" s="315" t="s">
        <v>9</v>
      </c>
      <c r="AO58" s="316" t="s">
        <v>253</v>
      </c>
      <c r="AP58" s="317" t="s">
        <v>254</v>
      </c>
      <c r="AQ58" s="313" t="s">
        <v>241</v>
      </c>
      <c r="AR58" s="314" t="s">
        <v>242</v>
      </c>
      <c r="AS58" s="313" t="s">
        <v>241</v>
      </c>
      <c r="AT58" s="314" t="s">
        <v>242</v>
      </c>
      <c r="AU58" s="315" t="s">
        <v>8</v>
      </c>
      <c r="AV58" s="315" t="s">
        <v>9</v>
      </c>
      <c r="AW58" s="316" t="s">
        <v>253</v>
      </c>
      <c r="AX58" s="317" t="s">
        <v>254</v>
      </c>
    </row>
    <row r="59" spans="2:50" x14ac:dyDescent="0.3">
      <c r="B59" s="380" t="s">
        <v>42</v>
      </c>
      <c r="C59" s="386">
        <v>2</v>
      </c>
      <c r="D59" s="387">
        <v>1</v>
      </c>
      <c r="E59" s="387">
        <v>2.5</v>
      </c>
      <c r="F59" s="407">
        <v>1</v>
      </c>
      <c r="G59" s="378">
        <f>('Carichi unitari'!$C$11+'Carichi unitari'!$C$10)*C59*D59*E59*F59</f>
        <v>27.509740259740262</v>
      </c>
      <c r="H59" s="319">
        <f>'Carichi unitari'!$D$10*C59*D59*E59*F59</f>
        <v>10</v>
      </c>
      <c r="I59" s="378">
        <f>G59*$E$25+H59*$F$25</f>
        <v>50.762662337662341</v>
      </c>
      <c r="J59" s="320">
        <f>G59+H59*$H$24</f>
        <v>30.509740259740262</v>
      </c>
      <c r="K59" s="386">
        <v>2</v>
      </c>
      <c r="L59" s="387">
        <v>1</v>
      </c>
      <c r="M59" s="387">
        <v>2.5</v>
      </c>
      <c r="N59" s="407">
        <v>1</v>
      </c>
      <c r="O59" s="378">
        <f>('Carichi unitari'!$C$11+'Carichi unitari'!$C$10)*K59*L59*M59*N59</f>
        <v>27.509740259740262</v>
      </c>
      <c r="P59" s="319">
        <f>'Carichi unitari'!$D$10*K59*L59*M59*N59</f>
        <v>10</v>
      </c>
      <c r="Q59" s="378">
        <f>O59*$E$25+P59*$F$25</f>
        <v>50.762662337662341</v>
      </c>
      <c r="R59" s="320">
        <f>O59+P59*$H$24</f>
        <v>30.509740259740262</v>
      </c>
      <c r="S59" s="386">
        <v>2</v>
      </c>
      <c r="T59" s="387">
        <v>1</v>
      </c>
      <c r="U59" s="387">
        <v>2.5</v>
      </c>
      <c r="V59" s="407">
        <v>1</v>
      </c>
      <c r="W59" s="378">
        <f>('Carichi unitari'!$C$11+'Carichi unitari'!$C$10)*S59*T59*U59*V59</f>
        <v>27.509740259740262</v>
      </c>
      <c r="X59" s="319">
        <f>'Carichi unitari'!$D$10*S59*T59*U59*V59</f>
        <v>10</v>
      </c>
      <c r="Y59" s="378">
        <f>W59*$E$25+X59*$F$25</f>
        <v>50.762662337662341</v>
      </c>
      <c r="Z59" s="320">
        <f>W59+X59*$H$24</f>
        <v>30.509740259740262</v>
      </c>
      <c r="AA59" s="386">
        <v>2</v>
      </c>
      <c r="AB59" s="387">
        <v>1</v>
      </c>
      <c r="AC59" s="387">
        <v>2.5</v>
      </c>
      <c r="AD59" s="407">
        <v>1</v>
      </c>
      <c r="AE59" s="378">
        <f>('Carichi unitari'!$C$11+'Carichi unitari'!$C$10)*AA59*AB59*AC59*AD59</f>
        <v>27.509740259740262</v>
      </c>
      <c r="AF59" s="319">
        <f>'Carichi unitari'!$D$10*AA59*AB59*AC59*AD59</f>
        <v>10</v>
      </c>
      <c r="AG59" s="378">
        <f>AE59*$E$25+AF59*$F$25</f>
        <v>50.762662337662341</v>
      </c>
      <c r="AH59" s="320">
        <f>AE59+AF59*$H$24</f>
        <v>30.509740259740262</v>
      </c>
      <c r="AI59" s="386">
        <v>2</v>
      </c>
      <c r="AJ59" s="387">
        <v>1</v>
      </c>
      <c r="AK59" s="387">
        <v>2.5</v>
      </c>
      <c r="AL59" s="407">
        <v>1</v>
      </c>
      <c r="AM59" s="378">
        <f>('Carichi unitari'!$C$11+'Carichi unitari'!$C$10)*AI59*AJ59*AK59*AL59</f>
        <v>27.509740259740262</v>
      </c>
      <c r="AN59" s="319">
        <f>'Carichi unitari'!$D$10*AI59*AJ59*AK59*AL59</f>
        <v>10</v>
      </c>
      <c r="AO59" s="378">
        <f>AM59*$E$25+AN59*$F$25</f>
        <v>50.762662337662341</v>
      </c>
      <c r="AP59" s="320">
        <f>AM59+AN59*$H$24</f>
        <v>30.509740259740262</v>
      </c>
      <c r="AQ59" s="386">
        <v>2</v>
      </c>
      <c r="AR59" s="387">
        <v>1</v>
      </c>
      <c r="AS59" s="387">
        <v>2.5</v>
      </c>
      <c r="AT59" s="407">
        <v>1</v>
      </c>
      <c r="AU59" s="378">
        <f>('Carichi unitari'!$C$11+'Carichi unitari'!$C$10)*AQ59*AR59*AS59*AT59</f>
        <v>27.509740259740262</v>
      </c>
      <c r="AV59" s="319">
        <f>'Carichi unitari'!$D$10*AQ59*AR59*AS59*AT59</f>
        <v>10</v>
      </c>
      <c r="AW59" s="378">
        <f>AU59*$E$25+AV59*$F$25</f>
        <v>50.762662337662341</v>
      </c>
      <c r="AX59" s="320">
        <f>AU59+AV59*$H$24</f>
        <v>30.509740259740262</v>
      </c>
    </row>
    <row r="60" spans="2:50" x14ac:dyDescent="0.3">
      <c r="B60" s="381" t="s">
        <v>42</v>
      </c>
      <c r="C60" s="37">
        <v>2</v>
      </c>
      <c r="D60" s="400">
        <v>1.2</v>
      </c>
      <c r="E60" s="400">
        <v>2.5</v>
      </c>
      <c r="F60" s="302">
        <v>1.2</v>
      </c>
      <c r="G60" s="329">
        <f>('Carichi unitari'!$C$11+'Carichi unitari'!$C$10)*C60*D60*E60*F60</f>
        <v>39.614025974025978</v>
      </c>
      <c r="H60" s="9">
        <f>'Carichi unitari'!$D$10*C60*D60*E60*F60</f>
        <v>14.399999999999999</v>
      </c>
      <c r="I60" s="329">
        <f>G60*$E$25+H60*$F$25</f>
        <v>73.098233766233776</v>
      </c>
      <c r="J60" s="281">
        <f>G60+H60*$H$24</f>
        <v>43.934025974025978</v>
      </c>
      <c r="K60" s="37">
        <v>2</v>
      </c>
      <c r="L60" s="400">
        <v>1.2</v>
      </c>
      <c r="M60" s="400">
        <v>2.5</v>
      </c>
      <c r="N60" s="302">
        <v>1.1000000000000001</v>
      </c>
      <c r="O60" s="329">
        <f>('Carichi unitari'!$C$11+'Carichi unitari'!$C$10)*K60*L60*M60*N60</f>
        <v>36.312857142857155</v>
      </c>
      <c r="P60" s="9">
        <f>'Carichi unitari'!$D$10*K60*L60*M60*N60</f>
        <v>13.200000000000001</v>
      </c>
      <c r="Q60" s="329">
        <f>O60*$E$25+P60*$F$25</f>
        <v>67.00671428571431</v>
      </c>
      <c r="R60" s="281">
        <f>O60+P60*$H$24</f>
        <v>40.272857142857156</v>
      </c>
      <c r="S60" s="37">
        <v>2</v>
      </c>
      <c r="T60" s="400">
        <v>1.2</v>
      </c>
      <c r="U60" s="400">
        <v>2.5</v>
      </c>
      <c r="V60" s="302">
        <v>1.1000000000000001</v>
      </c>
      <c r="W60" s="329">
        <f>('Carichi unitari'!$C$11+'Carichi unitari'!$C$10)*S60*T60*U60*V60</f>
        <v>36.312857142857155</v>
      </c>
      <c r="X60" s="9">
        <f>'Carichi unitari'!$D$10*S60*T60*U60*V60</f>
        <v>13.200000000000001</v>
      </c>
      <c r="Y60" s="329">
        <f>W60*$E$25+X60*$F$25</f>
        <v>67.00671428571431</v>
      </c>
      <c r="Z60" s="281">
        <f>W60+X60*$H$24</f>
        <v>40.272857142857156</v>
      </c>
      <c r="AA60" s="37">
        <v>2</v>
      </c>
      <c r="AB60" s="400">
        <v>1.2</v>
      </c>
      <c r="AC60" s="400">
        <v>2.5</v>
      </c>
      <c r="AD60" s="302">
        <v>1.1000000000000001</v>
      </c>
      <c r="AE60" s="329">
        <f>('Carichi unitari'!$C$11+'Carichi unitari'!$C$10)*AA60*AB60*AC60*AD60</f>
        <v>36.312857142857155</v>
      </c>
      <c r="AF60" s="9">
        <f>'Carichi unitari'!$D$10*AA60*AB60*AC60*AD60</f>
        <v>13.200000000000001</v>
      </c>
      <c r="AG60" s="329">
        <f>AE60*$E$25+AF60*$F$25</f>
        <v>67.00671428571431</v>
      </c>
      <c r="AH60" s="281">
        <f>AE60+AF60*$H$24</f>
        <v>40.272857142857156</v>
      </c>
      <c r="AI60" s="37">
        <v>2</v>
      </c>
      <c r="AJ60" s="400">
        <v>1.2</v>
      </c>
      <c r="AK60" s="400">
        <v>2.5</v>
      </c>
      <c r="AL60" s="302">
        <v>1.1000000000000001</v>
      </c>
      <c r="AM60" s="329">
        <f>('Carichi unitari'!$C$11+'Carichi unitari'!$C$10)*AI60*AJ60*AK60*AL60</f>
        <v>36.312857142857155</v>
      </c>
      <c r="AN60" s="9">
        <f>'Carichi unitari'!$D$10*AI60*AJ60*AK60*AL60</f>
        <v>13.200000000000001</v>
      </c>
      <c r="AO60" s="329">
        <f>AM60*$E$25+AN60*$F$25</f>
        <v>67.00671428571431</v>
      </c>
      <c r="AP60" s="281">
        <f>AM60+AN60*$H$24</f>
        <v>40.272857142857156</v>
      </c>
      <c r="AQ60" s="37">
        <v>2</v>
      </c>
      <c r="AR60" s="400">
        <v>1.2</v>
      </c>
      <c r="AS60" s="400">
        <v>2.5</v>
      </c>
      <c r="AT60" s="302">
        <v>1.1000000000000001</v>
      </c>
      <c r="AU60" s="329">
        <f>('Carichi unitari'!$C$11+'Carichi unitari'!$C$10)*AQ60*AR60*AS60*AT60</f>
        <v>36.312857142857155</v>
      </c>
      <c r="AV60" s="9">
        <f>'Carichi unitari'!$D$10*AQ60*AR60*AS60*AT60</f>
        <v>13.200000000000001</v>
      </c>
      <c r="AW60" s="329">
        <f>AU60*$E$25+AV60*$F$25</f>
        <v>67.00671428571431</v>
      </c>
      <c r="AX60" s="281">
        <f>AU60+AV60*$H$24</f>
        <v>40.272857142857156</v>
      </c>
    </row>
    <row r="61" spans="2:50" x14ac:dyDescent="0.3">
      <c r="B61" s="381" t="s">
        <v>42</v>
      </c>
      <c r="C61" s="37">
        <v>2.5</v>
      </c>
      <c r="D61" s="400">
        <v>1.2</v>
      </c>
      <c r="E61" s="400">
        <v>2.5</v>
      </c>
      <c r="F61" s="302">
        <v>1.2</v>
      </c>
      <c r="G61" s="329">
        <f>('Carichi unitari'!$C$11+'Carichi unitari'!$C$10)*C61*D61*E61*F61</f>
        <v>49.517532467532469</v>
      </c>
      <c r="H61" s="9">
        <f>'Carichi unitari'!$D$10*C61*D61*E61*F61</f>
        <v>18</v>
      </c>
      <c r="I61" s="329">
        <f>G61*$E$25+H61*$F$25</f>
        <v>91.372792207792216</v>
      </c>
      <c r="J61" s="281">
        <f>G61+H61*$H$24</f>
        <v>54.917532467532467</v>
      </c>
      <c r="K61" s="37">
        <v>2.5</v>
      </c>
      <c r="L61" s="400">
        <v>1.2</v>
      </c>
      <c r="M61" s="400">
        <v>2.5</v>
      </c>
      <c r="N61" s="302">
        <v>1.1000000000000001</v>
      </c>
      <c r="O61" s="329">
        <f>('Carichi unitari'!$C$11+'Carichi unitari'!$C$10)*K61*L61*M61*N61</f>
        <v>45.391071428571429</v>
      </c>
      <c r="P61" s="9">
        <f>'Carichi unitari'!$D$10*K61*L61*M61*N61</f>
        <v>16.5</v>
      </c>
      <c r="Q61" s="329">
        <f>O61*$E$25+P61*$F$25</f>
        <v>83.758392857142866</v>
      </c>
      <c r="R61" s="281">
        <f>O61+P61*$H$24</f>
        <v>50.341071428571432</v>
      </c>
      <c r="S61" s="37">
        <v>2.5</v>
      </c>
      <c r="T61" s="400">
        <v>1.2</v>
      </c>
      <c r="U61" s="400">
        <v>2.5</v>
      </c>
      <c r="V61" s="302">
        <v>1.1000000000000001</v>
      </c>
      <c r="W61" s="329">
        <f>('Carichi unitari'!$C$11+'Carichi unitari'!$C$10)*S61*T61*U61*V61</f>
        <v>45.391071428571429</v>
      </c>
      <c r="X61" s="9">
        <f>'Carichi unitari'!$D$10*S61*T61*U61*V61</f>
        <v>16.5</v>
      </c>
      <c r="Y61" s="329">
        <f>W61*$E$25+X61*$F$25</f>
        <v>83.758392857142866</v>
      </c>
      <c r="Z61" s="281">
        <f>W61+X61*$H$24</f>
        <v>50.341071428571432</v>
      </c>
      <c r="AA61" s="37">
        <v>2.5</v>
      </c>
      <c r="AB61" s="400">
        <v>1.2</v>
      </c>
      <c r="AC61" s="400">
        <v>2.5</v>
      </c>
      <c r="AD61" s="302">
        <v>1.1000000000000001</v>
      </c>
      <c r="AE61" s="329">
        <f>('Carichi unitari'!$C$11+'Carichi unitari'!$C$10)*AA61*AB61*AC61*AD61</f>
        <v>45.391071428571429</v>
      </c>
      <c r="AF61" s="9">
        <f>'Carichi unitari'!$D$10*AA61*AB61*AC61*AD61</f>
        <v>16.5</v>
      </c>
      <c r="AG61" s="329">
        <f>AE61*$E$25+AF61*$F$25</f>
        <v>83.758392857142866</v>
      </c>
      <c r="AH61" s="281">
        <f>AE61+AF61*$H$24</f>
        <v>50.341071428571432</v>
      </c>
      <c r="AI61" s="37">
        <v>2.5</v>
      </c>
      <c r="AJ61" s="400">
        <v>1.2</v>
      </c>
      <c r="AK61" s="400">
        <v>2.5</v>
      </c>
      <c r="AL61" s="302">
        <v>1.1000000000000001</v>
      </c>
      <c r="AM61" s="329">
        <f>('Carichi unitari'!$C$11+'Carichi unitari'!$C$10)*AI61*AJ61*AK61*AL61</f>
        <v>45.391071428571429</v>
      </c>
      <c r="AN61" s="9">
        <f>'Carichi unitari'!$D$10*AI61*AJ61*AK61*AL61</f>
        <v>16.5</v>
      </c>
      <c r="AO61" s="329">
        <f>AM61*$E$25+AN61*$F$25</f>
        <v>83.758392857142866</v>
      </c>
      <c r="AP61" s="281">
        <f>AM61+AN61*$H$24</f>
        <v>50.341071428571432</v>
      </c>
      <c r="AQ61" s="37">
        <v>2.5</v>
      </c>
      <c r="AR61" s="400">
        <v>1.2</v>
      </c>
      <c r="AS61" s="400">
        <v>2.5</v>
      </c>
      <c r="AT61" s="302">
        <v>1.1000000000000001</v>
      </c>
      <c r="AU61" s="329">
        <f>('Carichi unitari'!$C$11+'Carichi unitari'!$C$10)*AQ61*AR61*AS61*AT61</f>
        <v>45.391071428571429</v>
      </c>
      <c r="AV61" s="9">
        <f>'Carichi unitari'!$D$10*AQ61*AR61*AS61*AT61</f>
        <v>16.5</v>
      </c>
      <c r="AW61" s="329">
        <f>AU61*$E$25+AV61*$F$25</f>
        <v>83.758392857142866</v>
      </c>
      <c r="AX61" s="281">
        <f>AU61+AV61*$H$24</f>
        <v>50.341071428571432</v>
      </c>
    </row>
    <row r="62" spans="2:50" x14ac:dyDescent="0.3">
      <c r="B62" s="382" t="s">
        <v>42</v>
      </c>
      <c r="C62" s="388">
        <v>2.5</v>
      </c>
      <c r="D62" s="385">
        <v>1</v>
      </c>
      <c r="E62" s="385">
        <v>2.5</v>
      </c>
      <c r="F62" s="303">
        <v>1.2</v>
      </c>
      <c r="G62" s="329">
        <f>('Carichi unitari'!$C$11+'Carichi unitari'!$C$10)*C62*D62*E62*F62</f>
        <v>41.26461038961039</v>
      </c>
      <c r="H62" s="9">
        <f>'Carichi unitari'!$D$10*C62*D62*E62*F62</f>
        <v>15</v>
      </c>
      <c r="I62" s="329">
        <f>G62*$E$25+H62*$F$25</f>
        <v>76.143993506493501</v>
      </c>
      <c r="J62" s="281">
        <f>G62+H62*$H$24</f>
        <v>45.76461038961039</v>
      </c>
      <c r="K62" s="388">
        <v>2.5</v>
      </c>
      <c r="L62" s="385">
        <v>1</v>
      </c>
      <c r="M62" s="385">
        <v>2.5</v>
      </c>
      <c r="N62" s="303">
        <v>1.1000000000000001</v>
      </c>
      <c r="O62" s="329">
        <f>('Carichi unitari'!$C$11+'Carichi unitari'!$C$10)*K62*L62*M62*N62</f>
        <v>37.825892857142861</v>
      </c>
      <c r="P62" s="9">
        <f>'Carichi unitari'!$D$10*K62*L62*M62*N62</f>
        <v>13.750000000000002</v>
      </c>
      <c r="Q62" s="329">
        <f>O62*$E$25+P62*$F$25</f>
        <v>69.798660714285731</v>
      </c>
      <c r="R62" s="281">
        <f>O62+P62*$H$24</f>
        <v>41.950892857142861</v>
      </c>
      <c r="S62" s="388">
        <v>2.5</v>
      </c>
      <c r="T62" s="385">
        <v>1</v>
      </c>
      <c r="U62" s="385">
        <v>2.5</v>
      </c>
      <c r="V62" s="303">
        <v>1.1000000000000001</v>
      </c>
      <c r="W62" s="329">
        <f>('Carichi unitari'!$C$11+'Carichi unitari'!$C$10)*S62*T62*U62*V62</f>
        <v>37.825892857142861</v>
      </c>
      <c r="X62" s="9">
        <f>'Carichi unitari'!$D$10*S62*T62*U62*V62</f>
        <v>13.750000000000002</v>
      </c>
      <c r="Y62" s="329">
        <f>W62*$E$25+X62*$F$25</f>
        <v>69.798660714285731</v>
      </c>
      <c r="Z62" s="281">
        <f>W62+X62*$H$24</f>
        <v>41.950892857142861</v>
      </c>
      <c r="AA62" s="388">
        <v>2.5</v>
      </c>
      <c r="AB62" s="385">
        <v>1</v>
      </c>
      <c r="AC62" s="385">
        <v>2.5</v>
      </c>
      <c r="AD62" s="303">
        <v>1.1000000000000001</v>
      </c>
      <c r="AE62" s="329">
        <f>('Carichi unitari'!$C$11+'Carichi unitari'!$C$10)*AA62*AB62*AC62*AD62</f>
        <v>37.825892857142861</v>
      </c>
      <c r="AF62" s="9">
        <f>'Carichi unitari'!$D$10*AA62*AB62*AC62*AD62</f>
        <v>13.750000000000002</v>
      </c>
      <c r="AG62" s="329">
        <f>AE62*$E$25+AF62*$F$25</f>
        <v>69.798660714285731</v>
      </c>
      <c r="AH62" s="281">
        <f>AE62+AF62*$H$24</f>
        <v>41.950892857142861</v>
      </c>
      <c r="AI62" s="388">
        <v>2.5</v>
      </c>
      <c r="AJ62" s="385">
        <v>1</v>
      </c>
      <c r="AK62" s="385">
        <v>2.5</v>
      </c>
      <c r="AL62" s="303">
        <v>1.1000000000000001</v>
      </c>
      <c r="AM62" s="329">
        <f>('Carichi unitari'!$C$11+'Carichi unitari'!$C$10)*AI62*AJ62*AK62*AL62</f>
        <v>37.825892857142861</v>
      </c>
      <c r="AN62" s="9">
        <f>'Carichi unitari'!$D$10*AI62*AJ62*AK62*AL62</f>
        <v>13.750000000000002</v>
      </c>
      <c r="AO62" s="329">
        <f>AM62*$E$25+AN62*$F$25</f>
        <v>69.798660714285731</v>
      </c>
      <c r="AP62" s="281">
        <f>AM62+AN62*$H$24</f>
        <v>41.950892857142861</v>
      </c>
      <c r="AQ62" s="388">
        <v>2.5</v>
      </c>
      <c r="AR62" s="385">
        <v>1</v>
      </c>
      <c r="AS62" s="385">
        <v>2.5</v>
      </c>
      <c r="AT62" s="303">
        <v>1.1000000000000001</v>
      </c>
      <c r="AU62" s="329">
        <f>('Carichi unitari'!$C$11+'Carichi unitari'!$C$10)*AQ62*AR62*AS62*AT62</f>
        <v>37.825892857142861</v>
      </c>
      <c r="AV62" s="9">
        <f>'Carichi unitari'!$D$10*AQ62*AR62*AS62*AT62</f>
        <v>13.750000000000002</v>
      </c>
      <c r="AW62" s="329">
        <f>AU62*$E$25+AV62*$F$25</f>
        <v>69.798660714285731</v>
      </c>
      <c r="AX62" s="281">
        <f>AU62+AV62*$H$24</f>
        <v>41.950892857142861</v>
      </c>
    </row>
    <row r="63" spans="2:50" x14ac:dyDescent="0.3">
      <c r="B63" s="383" t="s">
        <v>358</v>
      </c>
      <c r="C63" s="388">
        <v>2.5</v>
      </c>
      <c r="D63" s="385">
        <v>1.2</v>
      </c>
      <c r="E63" s="385">
        <v>2.5</v>
      </c>
      <c r="F63" s="385">
        <v>1</v>
      </c>
      <c r="G63" s="16">
        <f>(C63*D63+E63*F63)*'Carichi unitari'!$C$17</f>
        <v>27.439642857142857</v>
      </c>
      <c r="H63" s="16"/>
      <c r="I63" s="16">
        <f>G63*$E$25</f>
        <v>35.671535714285717</v>
      </c>
      <c r="J63" s="356">
        <f>G63</f>
        <v>27.439642857142857</v>
      </c>
      <c r="K63" s="388">
        <v>2.5</v>
      </c>
      <c r="L63" s="385">
        <v>1.1000000000000001</v>
      </c>
      <c r="M63" s="385">
        <v>2.5</v>
      </c>
      <c r="N63" s="385">
        <v>1</v>
      </c>
      <c r="O63" s="16">
        <f>(K63*L63+M63*N63)*'Carichi unitari'!$C$17</f>
        <v>26.192386363636366</v>
      </c>
      <c r="P63" s="16"/>
      <c r="Q63" s="16">
        <f>O63*$E$25</f>
        <v>34.05010227272728</v>
      </c>
      <c r="R63" s="356">
        <f>O63</f>
        <v>26.192386363636366</v>
      </c>
      <c r="S63" s="388">
        <v>2.5</v>
      </c>
      <c r="T63" s="385">
        <v>1.1000000000000001</v>
      </c>
      <c r="U63" s="385">
        <v>2.5</v>
      </c>
      <c r="V63" s="385">
        <v>1</v>
      </c>
      <c r="W63" s="16">
        <f>(S63*T63+U63*V63)*'Carichi unitari'!$C$17</f>
        <v>26.192386363636366</v>
      </c>
      <c r="X63" s="16"/>
      <c r="Y63" s="16">
        <f>W63*$E$25</f>
        <v>34.05010227272728</v>
      </c>
      <c r="Z63" s="356">
        <f>W63</f>
        <v>26.192386363636366</v>
      </c>
      <c r="AA63" s="388">
        <v>2.5</v>
      </c>
      <c r="AB63" s="385">
        <v>1.1000000000000001</v>
      </c>
      <c r="AC63" s="385">
        <v>2.5</v>
      </c>
      <c r="AD63" s="385">
        <v>1</v>
      </c>
      <c r="AE63" s="16">
        <f>(AA63*AB63+AC63*AD63)*'Carichi unitari'!$C$18</f>
        <v>22.254886363636359</v>
      </c>
      <c r="AF63" s="16"/>
      <c r="AG63" s="16">
        <f>AE63*$E$25</f>
        <v>28.931352272727267</v>
      </c>
      <c r="AH63" s="356">
        <f>AE63</f>
        <v>22.254886363636359</v>
      </c>
      <c r="AI63" s="388">
        <v>2.5</v>
      </c>
      <c r="AJ63" s="385">
        <v>1.1000000000000001</v>
      </c>
      <c r="AK63" s="385">
        <v>2.5</v>
      </c>
      <c r="AL63" s="385">
        <v>1</v>
      </c>
      <c r="AM63" s="16">
        <f>(AI63*AJ63+AK63*AL63)*'Carichi unitari'!$C$18</f>
        <v>22.254886363636359</v>
      </c>
      <c r="AN63" s="16"/>
      <c r="AO63" s="16">
        <f>AM63*$E$25</f>
        <v>28.931352272727267</v>
      </c>
      <c r="AP63" s="356">
        <f>AM63</f>
        <v>22.254886363636359</v>
      </c>
      <c r="AQ63" s="388">
        <v>2.5</v>
      </c>
      <c r="AR63" s="385">
        <v>1.1000000000000001</v>
      </c>
      <c r="AS63" s="385">
        <v>2.5</v>
      </c>
      <c r="AT63" s="385">
        <v>1</v>
      </c>
      <c r="AU63" s="16">
        <f>(AQ63*AR63+AS63*AT63)*'Carichi unitari'!$C$19</f>
        <v>18.317386363636366</v>
      </c>
      <c r="AV63" s="16"/>
      <c r="AW63" s="16">
        <f>AU63*$E$25</f>
        <v>23.812602272727275</v>
      </c>
      <c r="AX63" s="356">
        <f>AU63</f>
        <v>18.317386363636366</v>
      </c>
    </row>
    <row r="64" spans="2:50" x14ac:dyDescent="0.3">
      <c r="B64" s="383" t="s">
        <v>359</v>
      </c>
      <c r="C64" s="388">
        <v>2</v>
      </c>
      <c r="D64" s="385">
        <v>1</v>
      </c>
      <c r="E64" s="385">
        <v>2.5</v>
      </c>
      <c r="F64" s="385">
        <v>1.2</v>
      </c>
      <c r="G64" s="9">
        <f>(C64*D64+E64*F64)*'Carichi unitari'!$C$21</f>
        <v>9.2341558441558433</v>
      </c>
      <c r="H64" s="9"/>
      <c r="I64" s="9">
        <f>G64*$E$25</f>
        <v>12.004402597402597</v>
      </c>
      <c r="J64" s="281">
        <f>G64</f>
        <v>9.2341558441558433</v>
      </c>
      <c r="K64" s="388">
        <v>2</v>
      </c>
      <c r="L64" s="385">
        <v>1</v>
      </c>
      <c r="M64" s="385">
        <v>2.5</v>
      </c>
      <c r="N64" s="385">
        <v>1.1000000000000001</v>
      </c>
      <c r="O64" s="9">
        <f>(K64*L64+M64*N64)*'Carichi unitari'!$C$21</f>
        <v>8.7724480519480501</v>
      </c>
      <c r="P64" s="9"/>
      <c r="Q64" s="9">
        <f>O64*$E$25</f>
        <v>11.404182467532465</v>
      </c>
      <c r="R64" s="281">
        <f>O64</f>
        <v>8.7724480519480501</v>
      </c>
      <c r="S64" s="388">
        <v>2</v>
      </c>
      <c r="T64" s="385">
        <v>1</v>
      </c>
      <c r="U64" s="385">
        <v>2.5</v>
      </c>
      <c r="V64" s="385">
        <v>1.1000000000000001</v>
      </c>
      <c r="W64" s="9">
        <f>(S64*T64+U64*V64)*'Carichi unitari'!$C$21</f>
        <v>8.7724480519480501</v>
      </c>
      <c r="X64" s="9"/>
      <c r="Y64" s="9">
        <f>W64*$E$25</f>
        <v>11.404182467532465</v>
      </c>
      <c r="Z64" s="281">
        <f>W64</f>
        <v>8.7724480519480501</v>
      </c>
      <c r="AA64" s="388">
        <v>2</v>
      </c>
      <c r="AB64" s="385">
        <v>1</v>
      </c>
      <c r="AC64" s="385">
        <v>2.5</v>
      </c>
      <c r="AD64" s="385">
        <v>1.1000000000000001</v>
      </c>
      <c r="AE64" s="9">
        <f>(AA64*AB64+AC64*AD64)*'Carichi unitari'!$C$21</f>
        <v>8.7724480519480501</v>
      </c>
      <c r="AF64" s="9"/>
      <c r="AG64" s="9">
        <f>AE64*$E$25</f>
        <v>11.404182467532465</v>
      </c>
      <c r="AH64" s="281">
        <f>AE64</f>
        <v>8.7724480519480501</v>
      </c>
      <c r="AI64" s="388">
        <v>2</v>
      </c>
      <c r="AJ64" s="385">
        <v>1</v>
      </c>
      <c r="AK64" s="385">
        <v>2.5</v>
      </c>
      <c r="AL64" s="385">
        <v>1.1000000000000001</v>
      </c>
      <c r="AM64" s="9">
        <f>(AI64*AJ64+AK64*AL64)*'Carichi unitari'!$C$21</f>
        <v>8.7724480519480501</v>
      </c>
      <c r="AN64" s="9"/>
      <c r="AO64" s="9">
        <f>AM64*$E$25</f>
        <v>11.404182467532465</v>
      </c>
      <c r="AP64" s="281">
        <f>AM64</f>
        <v>8.7724480519480501</v>
      </c>
      <c r="AQ64" s="388">
        <v>2</v>
      </c>
      <c r="AR64" s="385">
        <v>1</v>
      </c>
      <c r="AS64" s="385">
        <v>2.5</v>
      </c>
      <c r="AT64" s="385">
        <v>1.1000000000000001</v>
      </c>
      <c r="AU64" s="9">
        <f>(AQ64*AR64+AS64*AT64)*'Carichi unitari'!$C$21</f>
        <v>8.7724480519480501</v>
      </c>
      <c r="AV64" s="9"/>
      <c r="AW64" s="9">
        <f>AU64*$E$25</f>
        <v>11.404182467532465</v>
      </c>
      <c r="AX64" s="281">
        <f>AU64</f>
        <v>8.7724480519480501</v>
      </c>
    </row>
    <row r="65" spans="2:50" x14ac:dyDescent="0.3">
      <c r="B65" s="383" t="s">
        <v>247</v>
      </c>
      <c r="C65" s="388"/>
      <c r="D65" s="385"/>
      <c r="E65" s="385"/>
      <c r="F65" s="385"/>
      <c r="G65" s="9">
        <f>'Carichi unitari'!$C$23</f>
        <v>16.799999999999997</v>
      </c>
      <c r="H65" s="9"/>
      <c r="I65" s="9">
        <f>G65*$E$25</f>
        <v>21.839999999999996</v>
      </c>
      <c r="J65" s="281">
        <f>G65</f>
        <v>16.799999999999997</v>
      </c>
      <c r="K65" s="388"/>
      <c r="L65" s="385"/>
      <c r="M65" s="385"/>
      <c r="N65" s="385"/>
      <c r="O65" s="9">
        <f>'Carichi unitari'!$C$24</f>
        <v>14.400000000000002</v>
      </c>
      <c r="P65" s="9"/>
      <c r="Q65" s="9">
        <f>O65*$E$25</f>
        <v>18.720000000000002</v>
      </c>
      <c r="R65" s="281">
        <f>O65</f>
        <v>14.400000000000002</v>
      </c>
      <c r="S65" s="388"/>
      <c r="T65" s="385"/>
      <c r="U65" s="385"/>
      <c r="V65" s="385"/>
      <c r="W65" s="9">
        <f>'Carichi unitari'!$C$25</f>
        <v>13.125</v>
      </c>
      <c r="X65" s="9"/>
      <c r="Y65" s="9">
        <f>W65*$E$25</f>
        <v>17.0625</v>
      </c>
      <c r="Z65" s="281">
        <f>W65</f>
        <v>13.125</v>
      </c>
      <c r="AA65" s="388"/>
      <c r="AB65" s="385"/>
      <c r="AC65" s="385"/>
      <c r="AD65" s="385"/>
      <c r="AE65" s="9">
        <f>'Carichi unitari'!$C$25</f>
        <v>13.125</v>
      </c>
      <c r="AF65" s="9"/>
      <c r="AG65" s="9">
        <f>AE65*$E$25</f>
        <v>17.0625</v>
      </c>
      <c r="AH65" s="281">
        <f>AE65</f>
        <v>13.125</v>
      </c>
      <c r="AI65" s="388"/>
      <c r="AJ65" s="385"/>
      <c r="AK65" s="385"/>
      <c r="AL65" s="385"/>
      <c r="AM65" s="9">
        <f>'Carichi unitari'!$C$26</f>
        <v>11.700000000000001</v>
      </c>
      <c r="AN65" s="9"/>
      <c r="AO65" s="9">
        <f>AM65*$E$25</f>
        <v>15.210000000000003</v>
      </c>
      <c r="AP65" s="281">
        <f>AM65</f>
        <v>11.700000000000001</v>
      </c>
      <c r="AQ65" s="388"/>
      <c r="AR65" s="385"/>
      <c r="AS65" s="385"/>
      <c r="AT65" s="385"/>
      <c r="AU65" s="9">
        <f>'Carichi unitari'!$C$26</f>
        <v>11.700000000000001</v>
      </c>
      <c r="AV65" s="9"/>
      <c r="AW65" s="9">
        <f>AU65*$E$25</f>
        <v>15.210000000000003</v>
      </c>
      <c r="AX65" s="281">
        <f>AU65</f>
        <v>11.700000000000001</v>
      </c>
    </row>
    <row r="66" spans="2:50" ht="15" thickBot="1" x14ac:dyDescent="0.35">
      <c r="B66" s="384" t="s">
        <v>380</v>
      </c>
      <c r="C66" s="389"/>
      <c r="D66" s="390"/>
      <c r="E66" s="390"/>
      <c r="F66" s="390"/>
      <c r="G66" s="301"/>
      <c r="H66" s="301"/>
      <c r="I66" s="350">
        <f>SUM(I59:I65)</f>
        <v>360.8936201298701</v>
      </c>
      <c r="J66" s="352">
        <f>SUM(J59:J65)</f>
        <v>228.59970779220782</v>
      </c>
      <c r="K66" s="389"/>
      <c r="L66" s="390"/>
      <c r="M66" s="390"/>
      <c r="N66" s="390"/>
      <c r="O66" s="301"/>
      <c r="P66" s="301"/>
      <c r="Q66" s="350">
        <f>SUM(Q59:Q65)</f>
        <v>335.50071493506499</v>
      </c>
      <c r="R66" s="352">
        <f>SUM(R59:R65)</f>
        <v>212.43939610389614</v>
      </c>
      <c r="S66" s="389"/>
      <c r="T66" s="390"/>
      <c r="U66" s="390"/>
      <c r="V66" s="390"/>
      <c r="W66" s="301"/>
      <c r="X66" s="301"/>
      <c r="Y66" s="350">
        <f>SUM(Y59:Y65)</f>
        <v>333.84321493506496</v>
      </c>
      <c r="Z66" s="352">
        <f>SUM(Z59:Z65)</f>
        <v>211.16439610389614</v>
      </c>
      <c r="AA66" s="389"/>
      <c r="AB66" s="390"/>
      <c r="AC66" s="390"/>
      <c r="AD66" s="390"/>
      <c r="AE66" s="301"/>
      <c r="AF66" s="301"/>
      <c r="AG66" s="350">
        <f>SUM(AG59:AG65)</f>
        <v>328.72446493506499</v>
      </c>
      <c r="AH66" s="352">
        <f>SUM(AH59:AH65)</f>
        <v>207.22689610389614</v>
      </c>
      <c r="AI66" s="389"/>
      <c r="AJ66" s="390"/>
      <c r="AK66" s="390"/>
      <c r="AL66" s="390"/>
      <c r="AM66" s="301"/>
      <c r="AN66" s="301"/>
      <c r="AO66" s="350">
        <f>SUM(AO59:AO65)</f>
        <v>326.87196493506497</v>
      </c>
      <c r="AP66" s="352">
        <f>SUM(AP59:AP65)</f>
        <v>205.80189610389613</v>
      </c>
      <c r="AQ66" s="389"/>
      <c r="AR66" s="390"/>
      <c r="AS66" s="390"/>
      <c r="AT66" s="390"/>
      <c r="AU66" s="301"/>
      <c r="AV66" s="301"/>
      <c r="AW66" s="350">
        <f>SUM(AW59:AW65)</f>
        <v>321.75321493506493</v>
      </c>
      <c r="AX66" s="352">
        <f>SUM(AX59:AX65)</f>
        <v>201.86439610389613</v>
      </c>
    </row>
    <row r="67" spans="2:50" ht="16.2" thickBot="1" x14ac:dyDescent="0.35">
      <c r="C67" s="602" t="s">
        <v>381</v>
      </c>
      <c r="D67" s="603"/>
      <c r="E67" s="603"/>
      <c r="F67" s="603"/>
      <c r="G67" s="603"/>
      <c r="H67" s="603"/>
      <c r="I67" s="603"/>
      <c r="J67" s="603"/>
      <c r="K67" s="602" t="s">
        <v>382</v>
      </c>
      <c r="L67" s="603"/>
      <c r="M67" s="603"/>
      <c r="N67" s="603"/>
      <c r="O67" s="603"/>
      <c r="P67" s="603"/>
      <c r="Q67" s="603"/>
      <c r="R67" s="603"/>
      <c r="S67" s="602" t="s">
        <v>383</v>
      </c>
      <c r="T67" s="603"/>
      <c r="U67" s="603"/>
      <c r="V67" s="603"/>
      <c r="W67" s="603"/>
      <c r="X67" s="603"/>
      <c r="Y67" s="603"/>
      <c r="Z67" s="603"/>
      <c r="AA67" s="602" t="s">
        <v>384</v>
      </c>
      <c r="AB67" s="603"/>
      <c r="AC67" s="603"/>
      <c r="AD67" s="603"/>
      <c r="AE67" s="603"/>
      <c r="AF67" s="603"/>
      <c r="AG67" s="603"/>
      <c r="AH67" s="603"/>
      <c r="AI67" s="602" t="s">
        <v>385</v>
      </c>
      <c r="AJ67" s="603"/>
      <c r="AK67" s="603"/>
      <c r="AL67" s="603"/>
      <c r="AM67" s="603"/>
      <c r="AN67" s="603"/>
      <c r="AO67" s="603"/>
      <c r="AP67" s="603"/>
      <c r="AQ67" s="602" t="s">
        <v>386</v>
      </c>
      <c r="AR67" s="603"/>
      <c r="AS67" s="603"/>
      <c r="AT67" s="603"/>
      <c r="AU67" s="603"/>
      <c r="AV67" s="603"/>
      <c r="AW67" s="603"/>
      <c r="AX67" s="603"/>
    </row>
    <row r="68" spans="2:50" ht="46.2" thickBot="1" x14ac:dyDescent="0.35">
      <c r="B68" s="379" t="s">
        <v>369</v>
      </c>
      <c r="C68" s="313" t="s">
        <v>241</v>
      </c>
      <c r="D68" s="314" t="s">
        <v>242</v>
      </c>
      <c r="E68" s="313" t="s">
        <v>241</v>
      </c>
      <c r="F68" s="314" t="s">
        <v>242</v>
      </c>
      <c r="G68" s="315" t="s">
        <v>8</v>
      </c>
      <c r="H68" s="315" t="s">
        <v>9</v>
      </c>
      <c r="I68" s="316" t="s">
        <v>253</v>
      </c>
      <c r="J68" s="317" t="s">
        <v>254</v>
      </c>
      <c r="K68" s="313" t="s">
        <v>241</v>
      </c>
      <c r="L68" s="314" t="s">
        <v>242</v>
      </c>
      <c r="M68" s="313" t="s">
        <v>241</v>
      </c>
      <c r="N68" s="314" t="s">
        <v>242</v>
      </c>
      <c r="O68" s="315" t="s">
        <v>8</v>
      </c>
      <c r="P68" s="315" t="s">
        <v>9</v>
      </c>
      <c r="Q68" s="316" t="s">
        <v>253</v>
      </c>
      <c r="R68" s="317" t="s">
        <v>254</v>
      </c>
      <c r="S68" s="313" t="s">
        <v>241</v>
      </c>
      <c r="T68" s="314" t="s">
        <v>242</v>
      </c>
      <c r="U68" s="313" t="s">
        <v>241</v>
      </c>
      <c r="V68" s="314" t="s">
        <v>242</v>
      </c>
      <c r="W68" s="315" t="s">
        <v>8</v>
      </c>
      <c r="X68" s="315" t="s">
        <v>9</v>
      </c>
      <c r="Y68" s="316" t="s">
        <v>253</v>
      </c>
      <c r="Z68" s="317" t="s">
        <v>254</v>
      </c>
      <c r="AA68" s="313" t="s">
        <v>241</v>
      </c>
      <c r="AB68" s="314" t="s">
        <v>242</v>
      </c>
      <c r="AC68" s="313" t="s">
        <v>241</v>
      </c>
      <c r="AD68" s="314" t="s">
        <v>242</v>
      </c>
      <c r="AE68" s="315" t="s">
        <v>8</v>
      </c>
      <c r="AF68" s="315" t="s">
        <v>9</v>
      </c>
      <c r="AG68" s="316" t="s">
        <v>253</v>
      </c>
      <c r="AH68" s="317" t="s">
        <v>254</v>
      </c>
      <c r="AI68" s="313" t="s">
        <v>241</v>
      </c>
      <c r="AJ68" s="314" t="s">
        <v>242</v>
      </c>
      <c r="AK68" s="313" t="s">
        <v>241</v>
      </c>
      <c r="AL68" s="314" t="s">
        <v>242</v>
      </c>
      <c r="AM68" s="315" t="s">
        <v>8</v>
      </c>
      <c r="AN68" s="315" t="s">
        <v>9</v>
      </c>
      <c r="AO68" s="316" t="s">
        <v>253</v>
      </c>
      <c r="AP68" s="317" t="s">
        <v>254</v>
      </c>
      <c r="AQ68" s="313" t="s">
        <v>241</v>
      </c>
      <c r="AR68" s="314" t="s">
        <v>242</v>
      </c>
      <c r="AS68" s="313" t="s">
        <v>241</v>
      </c>
      <c r="AT68" s="314" t="s">
        <v>242</v>
      </c>
      <c r="AU68" s="315" t="s">
        <v>8</v>
      </c>
      <c r="AV68" s="315" t="s">
        <v>9</v>
      </c>
      <c r="AW68" s="316" t="s">
        <v>253</v>
      </c>
      <c r="AX68" s="317" t="s">
        <v>254</v>
      </c>
    </row>
    <row r="69" spans="2:50" x14ac:dyDescent="0.3">
      <c r="B69" s="380" t="s">
        <v>42</v>
      </c>
      <c r="C69" s="165">
        <v>2.2999999999999998</v>
      </c>
      <c r="D69" s="166">
        <v>1</v>
      </c>
      <c r="E69" s="166">
        <v>2.5</v>
      </c>
      <c r="F69" s="209">
        <v>1</v>
      </c>
      <c r="G69" s="411">
        <f>('Carichi unitari'!$C$11+'Carichi unitari'!$C$10)*C69*D69*E69*F69</f>
        <v>31.636201298701302</v>
      </c>
      <c r="H69" s="319">
        <f>'Carichi unitari'!$D$10*C69*D69*E69*F69</f>
        <v>11.5</v>
      </c>
      <c r="I69" s="378">
        <f>G69*$E$25+H69*$F$25</f>
        <v>58.377061688311692</v>
      </c>
      <c r="J69" s="320">
        <f>G69+H69*$H$24</f>
        <v>35.086201298701305</v>
      </c>
      <c r="K69" s="165">
        <v>2.2999999999999998</v>
      </c>
      <c r="L69" s="166">
        <v>1</v>
      </c>
      <c r="M69" s="166">
        <v>2.5</v>
      </c>
      <c r="N69" s="209">
        <v>1</v>
      </c>
      <c r="O69" s="411">
        <f>('Carichi unitari'!$C$11+'Carichi unitari'!$C$10)*K69*L69*M69*N69</f>
        <v>31.636201298701302</v>
      </c>
      <c r="P69" s="319">
        <f>'Carichi unitari'!$D$10*K69*L69*M69*N69</f>
        <v>11.5</v>
      </c>
      <c r="Q69" s="378">
        <f>O69*$E$25+P69*$F$25</f>
        <v>58.377061688311692</v>
      </c>
      <c r="R69" s="320">
        <f>O69+P69*$H$24</f>
        <v>35.086201298701305</v>
      </c>
      <c r="S69" s="165">
        <v>2.2999999999999998</v>
      </c>
      <c r="T69" s="166">
        <v>1</v>
      </c>
      <c r="U69" s="166">
        <v>2.5</v>
      </c>
      <c r="V69" s="209">
        <v>1</v>
      </c>
      <c r="W69" s="411">
        <f>('Carichi unitari'!$C$11+'Carichi unitari'!$C$10)*S69*T69*U69*V69</f>
        <v>31.636201298701302</v>
      </c>
      <c r="X69" s="319">
        <f>'Carichi unitari'!$D$10*S69*T69*U69*V69</f>
        <v>11.5</v>
      </c>
      <c r="Y69" s="378">
        <f>W69*$E$25+X69*$F$25</f>
        <v>58.377061688311692</v>
      </c>
      <c r="Z69" s="320">
        <f>W69+X69*$H$24</f>
        <v>35.086201298701305</v>
      </c>
      <c r="AA69" s="165">
        <v>2.2999999999999998</v>
      </c>
      <c r="AB69" s="166">
        <v>1</v>
      </c>
      <c r="AC69" s="166">
        <v>2.5</v>
      </c>
      <c r="AD69" s="209">
        <v>1</v>
      </c>
      <c r="AE69" s="411">
        <f>('Carichi unitari'!$C$11+'Carichi unitari'!$C$10)*AA69*AB69*AC69*AD69</f>
        <v>31.636201298701302</v>
      </c>
      <c r="AF69" s="319">
        <f>'Carichi unitari'!$D$10*AA69*AB69*AC69*AD69</f>
        <v>11.5</v>
      </c>
      <c r="AG69" s="378">
        <f>AE69*$E$25+AF69*$F$25</f>
        <v>58.377061688311692</v>
      </c>
      <c r="AH69" s="320">
        <f>AE69+AF69*$H$24</f>
        <v>35.086201298701305</v>
      </c>
      <c r="AI69" s="165">
        <v>2.2999999999999998</v>
      </c>
      <c r="AJ69" s="166">
        <v>1</v>
      </c>
      <c r="AK69" s="166">
        <v>2.5</v>
      </c>
      <c r="AL69" s="209">
        <v>1</v>
      </c>
      <c r="AM69" s="411">
        <f>('Carichi unitari'!$C$11+'Carichi unitari'!$C$10)*AI69*AJ69*AK69*AL69</f>
        <v>31.636201298701302</v>
      </c>
      <c r="AN69" s="319">
        <f>'Carichi unitari'!$D$10*AI69*AJ69*AK69*AL69</f>
        <v>11.5</v>
      </c>
      <c r="AO69" s="378">
        <f>AM69*$E$25+AN69*$F$25</f>
        <v>58.377061688311692</v>
      </c>
      <c r="AP69" s="320">
        <f>AM69+AN69*$H$24</f>
        <v>35.086201298701305</v>
      </c>
      <c r="AQ69" s="165">
        <v>2.2999999999999998</v>
      </c>
      <c r="AR69" s="166">
        <v>1</v>
      </c>
      <c r="AS69" s="166">
        <v>2.5</v>
      </c>
      <c r="AT69" s="209">
        <v>1</v>
      </c>
      <c r="AU69" s="411">
        <f>('Carichi unitari'!$C$11+'Carichi unitari'!$C$10)*AQ69*AR69*AS69*AT69</f>
        <v>31.636201298701302</v>
      </c>
      <c r="AV69" s="319">
        <f>'Carichi unitari'!$D$10*AQ69*AR69*AS69*AT69</f>
        <v>11.5</v>
      </c>
      <c r="AW69" s="378">
        <f>AU69*$E$25+AV69*$F$25</f>
        <v>58.377061688311692</v>
      </c>
      <c r="AX69" s="320">
        <f>AU69+AV69*$H$24</f>
        <v>35.086201298701305</v>
      </c>
    </row>
    <row r="70" spans="2:50" x14ac:dyDescent="0.3">
      <c r="B70" s="381" t="s">
        <v>42</v>
      </c>
      <c r="C70" s="171">
        <v>2</v>
      </c>
      <c r="D70" s="50">
        <v>1</v>
      </c>
      <c r="E70" s="50">
        <v>2.5</v>
      </c>
      <c r="F70" s="210">
        <v>1</v>
      </c>
      <c r="G70" s="412">
        <f>('Carichi unitari'!$C$11+'Carichi unitari'!$C$10)*C70*D70*E70*F70</f>
        <v>27.509740259740262</v>
      </c>
      <c r="H70" s="9">
        <f>'Carichi unitari'!$D$10*C70*D70*E70*F70</f>
        <v>10</v>
      </c>
      <c r="I70" s="329">
        <f>G70*$E$25+H70*$F$25</f>
        <v>50.762662337662341</v>
      </c>
      <c r="J70" s="281">
        <f>G70+H70*$H$24</f>
        <v>30.509740259740262</v>
      </c>
      <c r="K70" s="171">
        <v>2</v>
      </c>
      <c r="L70" s="50">
        <v>1</v>
      </c>
      <c r="M70" s="50">
        <v>2.5</v>
      </c>
      <c r="N70" s="210">
        <v>1</v>
      </c>
      <c r="O70" s="412">
        <f>('Carichi unitari'!$C$11+'Carichi unitari'!$C$10)*K70*L70*M70*N70</f>
        <v>27.509740259740262</v>
      </c>
      <c r="P70" s="9">
        <f>'Carichi unitari'!$D$10*K70*L70*M70*N70</f>
        <v>10</v>
      </c>
      <c r="Q70" s="329">
        <f>O70*$E$25+P70*$F$25</f>
        <v>50.762662337662341</v>
      </c>
      <c r="R70" s="281">
        <f>O70+P70*$H$24</f>
        <v>30.509740259740262</v>
      </c>
      <c r="S70" s="171">
        <v>2</v>
      </c>
      <c r="T70" s="50">
        <v>1</v>
      </c>
      <c r="U70" s="50">
        <v>2.5</v>
      </c>
      <c r="V70" s="210">
        <v>1</v>
      </c>
      <c r="W70" s="412">
        <f>('Carichi unitari'!$C$11+'Carichi unitari'!$C$10)*S70*T70*U70*V70</f>
        <v>27.509740259740262</v>
      </c>
      <c r="X70" s="9">
        <f>'Carichi unitari'!$D$10*S70*T70*U70*V70</f>
        <v>10</v>
      </c>
      <c r="Y70" s="329">
        <f>W70*$E$25+X70*$F$25</f>
        <v>50.762662337662341</v>
      </c>
      <c r="Z70" s="281">
        <f>W70+X70*$H$24</f>
        <v>30.509740259740262</v>
      </c>
      <c r="AA70" s="171">
        <v>2</v>
      </c>
      <c r="AB70" s="50">
        <v>1</v>
      </c>
      <c r="AC70" s="50">
        <v>2.5</v>
      </c>
      <c r="AD70" s="210">
        <v>1</v>
      </c>
      <c r="AE70" s="412">
        <f>('Carichi unitari'!$C$11+'Carichi unitari'!$C$10)*AA70*AB70*AC70*AD70</f>
        <v>27.509740259740262</v>
      </c>
      <c r="AF70" s="9">
        <f>'Carichi unitari'!$D$10*AA70*AB70*AC70*AD70</f>
        <v>10</v>
      </c>
      <c r="AG70" s="329">
        <f>AE70*$E$25+AF70*$F$25</f>
        <v>50.762662337662341</v>
      </c>
      <c r="AH70" s="281">
        <f>AE70+AF70*$H$24</f>
        <v>30.509740259740262</v>
      </c>
      <c r="AI70" s="171">
        <v>2</v>
      </c>
      <c r="AJ70" s="50">
        <v>1</v>
      </c>
      <c r="AK70" s="50">
        <v>2.5</v>
      </c>
      <c r="AL70" s="210">
        <v>1</v>
      </c>
      <c r="AM70" s="412">
        <f>('Carichi unitari'!$C$11+'Carichi unitari'!$C$10)*AI70*AJ70*AK70*AL70</f>
        <v>27.509740259740262</v>
      </c>
      <c r="AN70" s="9">
        <f>'Carichi unitari'!$D$10*AI70*AJ70*AK70*AL70</f>
        <v>10</v>
      </c>
      <c r="AO70" s="329">
        <f>AM70*$E$25+AN70*$F$25</f>
        <v>50.762662337662341</v>
      </c>
      <c r="AP70" s="281">
        <f>AM70+AN70*$H$24</f>
        <v>30.509740259740262</v>
      </c>
      <c r="AQ70" s="171">
        <v>2</v>
      </c>
      <c r="AR70" s="50">
        <v>1</v>
      </c>
      <c r="AS70" s="50">
        <v>2.5</v>
      </c>
      <c r="AT70" s="210">
        <v>1</v>
      </c>
      <c r="AU70" s="412">
        <f>('Carichi unitari'!$C$11+'Carichi unitari'!$C$10)*AQ70*AR70*AS70*AT70</f>
        <v>27.509740259740262</v>
      </c>
      <c r="AV70" s="9">
        <f>'Carichi unitari'!$D$10*AQ70*AR70*AS70*AT70</f>
        <v>10</v>
      </c>
      <c r="AW70" s="329">
        <f>AU70*$E$25+AV70*$F$25</f>
        <v>50.762662337662341</v>
      </c>
      <c r="AX70" s="281">
        <f>AU70+AV70*$H$24</f>
        <v>30.509740259740262</v>
      </c>
    </row>
    <row r="71" spans="2:50" x14ac:dyDescent="0.3">
      <c r="B71" s="381" t="s">
        <v>42</v>
      </c>
      <c r="C71" s="171">
        <v>2.5</v>
      </c>
      <c r="D71" s="50">
        <v>1.2</v>
      </c>
      <c r="E71" s="50">
        <v>2</v>
      </c>
      <c r="F71" s="210">
        <v>1</v>
      </c>
      <c r="G71" s="412">
        <f>('Carichi unitari'!$C$11+'Carichi unitari'!$C$10)*C71*D71*E71*F71</f>
        <v>33.01168831168831</v>
      </c>
      <c r="H71" s="9">
        <f>'Carichi unitari'!$D$10*C71*D71*E71*F71</f>
        <v>12</v>
      </c>
      <c r="I71" s="329">
        <f>G71*$E$25+H71*$F$25</f>
        <v>60.915194805194808</v>
      </c>
      <c r="J71" s="281">
        <f>G71+H71*$H$24</f>
        <v>36.611688311688312</v>
      </c>
      <c r="K71" s="171">
        <v>2.5</v>
      </c>
      <c r="L71" s="50">
        <v>1.1000000000000001</v>
      </c>
      <c r="M71" s="50">
        <v>2</v>
      </c>
      <c r="N71" s="210">
        <v>1</v>
      </c>
      <c r="O71" s="412">
        <f>('Carichi unitari'!$C$11+'Carichi unitari'!$C$10)*K71*L71*M71*N71</f>
        <v>30.26071428571429</v>
      </c>
      <c r="P71" s="9">
        <f>'Carichi unitari'!$D$10*K71*L71*M71*N71</f>
        <v>11</v>
      </c>
      <c r="Q71" s="329">
        <f>O71*$E$25+P71*$F$25</f>
        <v>55.838928571428575</v>
      </c>
      <c r="R71" s="281">
        <f>O71+P71*$H$24</f>
        <v>33.56071428571429</v>
      </c>
      <c r="S71" s="171">
        <v>2.5</v>
      </c>
      <c r="T71" s="50">
        <v>1.1000000000000001</v>
      </c>
      <c r="U71" s="50">
        <v>2</v>
      </c>
      <c r="V71" s="210">
        <v>1</v>
      </c>
      <c r="W71" s="412">
        <f>('Carichi unitari'!$C$11+'Carichi unitari'!$C$10)*S71*T71*U71*V71</f>
        <v>30.26071428571429</v>
      </c>
      <c r="X71" s="9">
        <f>'Carichi unitari'!$D$10*S71*T71*U71*V71</f>
        <v>11</v>
      </c>
      <c r="Y71" s="329">
        <f>W71*$E$25+X71*$F$25</f>
        <v>55.838928571428575</v>
      </c>
      <c r="Z71" s="281">
        <f>W71+X71*$H$24</f>
        <v>33.56071428571429</v>
      </c>
      <c r="AA71" s="171">
        <v>2.5</v>
      </c>
      <c r="AB71" s="50">
        <v>1.1000000000000001</v>
      </c>
      <c r="AC71" s="50">
        <v>2</v>
      </c>
      <c r="AD71" s="210">
        <v>1</v>
      </c>
      <c r="AE71" s="412">
        <f>('Carichi unitari'!$C$11+'Carichi unitari'!$C$10)*AA71*AB71*AC71*AD71</f>
        <v>30.26071428571429</v>
      </c>
      <c r="AF71" s="9">
        <f>'Carichi unitari'!$D$10*AA71*AB71*AC71*AD71</f>
        <v>11</v>
      </c>
      <c r="AG71" s="329">
        <f>AE71*$E$25+AF71*$F$25</f>
        <v>55.838928571428575</v>
      </c>
      <c r="AH71" s="281">
        <f>AE71+AF71*$H$24</f>
        <v>33.56071428571429</v>
      </c>
      <c r="AI71" s="171">
        <v>2.5</v>
      </c>
      <c r="AJ71" s="50">
        <v>1.1000000000000001</v>
      </c>
      <c r="AK71" s="50">
        <v>2</v>
      </c>
      <c r="AL71" s="210">
        <v>1</v>
      </c>
      <c r="AM71" s="412">
        <f>('Carichi unitari'!$C$11+'Carichi unitari'!$C$10)*AI71*AJ71*AK71*AL71</f>
        <v>30.26071428571429</v>
      </c>
      <c r="AN71" s="9">
        <f>'Carichi unitari'!$D$10*AI71*AJ71*AK71*AL71</f>
        <v>11</v>
      </c>
      <c r="AO71" s="329">
        <f>AM71*$E$25+AN71*$F$25</f>
        <v>55.838928571428575</v>
      </c>
      <c r="AP71" s="281">
        <f>AM71+AN71*$H$24</f>
        <v>33.56071428571429</v>
      </c>
      <c r="AQ71" s="171">
        <v>2.5</v>
      </c>
      <c r="AR71" s="50">
        <v>1.1000000000000001</v>
      </c>
      <c r="AS71" s="50">
        <v>2</v>
      </c>
      <c r="AT71" s="210">
        <v>1</v>
      </c>
      <c r="AU71" s="412">
        <f>('Carichi unitari'!$C$11+'Carichi unitari'!$C$10)*AQ71*AR71*AS71*AT71</f>
        <v>30.26071428571429</v>
      </c>
      <c r="AV71" s="9">
        <f>'Carichi unitari'!$D$10*AQ71*AR71*AS71*AT71</f>
        <v>11</v>
      </c>
      <c r="AW71" s="329">
        <f>AU71*$E$25+AV71*$F$25</f>
        <v>55.838928571428575</v>
      </c>
      <c r="AX71" s="281">
        <f>AU71+AV71*$H$24</f>
        <v>33.56071428571429</v>
      </c>
    </row>
    <row r="72" spans="2:50" x14ac:dyDescent="0.3">
      <c r="B72" s="382" t="s">
        <v>357</v>
      </c>
      <c r="C72" s="413">
        <f>2.3+2.5</f>
        <v>4.8</v>
      </c>
      <c r="D72" s="414"/>
      <c r="E72" s="414"/>
      <c r="F72" s="415"/>
      <c r="G72" s="358">
        <f>C72*'Carichi unitari'!$C$22</f>
        <v>28.695532500000002</v>
      </c>
      <c r="H72" s="9"/>
      <c r="I72" s="9">
        <f>G72*$E$25</f>
        <v>37.304192250000007</v>
      </c>
      <c r="J72" s="281">
        <f>G72</f>
        <v>28.695532500000002</v>
      </c>
      <c r="K72" s="413">
        <f>2.3+2.5</f>
        <v>4.8</v>
      </c>
      <c r="L72" s="414"/>
      <c r="M72" s="414"/>
      <c r="N72" s="415"/>
      <c r="O72" s="358">
        <f>K72*'Carichi unitari'!$C$22</f>
        <v>28.695532500000002</v>
      </c>
      <c r="P72" s="358"/>
      <c r="Q72" s="358">
        <f>O72*$E$25</f>
        <v>37.304192250000007</v>
      </c>
      <c r="R72" s="417">
        <f>O72</f>
        <v>28.695532500000002</v>
      </c>
      <c r="S72" s="413">
        <f>2.3+2.5</f>
        <v>4.8</v>
      </c>
      <c r="T72" s="414"/>
      <c r="U72" s="414"/>
      <c r="V72" s="415"/>
      <c r="W72" s="358">
        <f>S72*'Carichi unitari'!$C$22</f>
        <v>28.695532500000002</v>
      </c>
      <c r="X72" s="358"/>
      <c r="Y72" s="358">
        <f>W72*$E$25</f>
        <v>37.304192250000007</v>
      </c>
      <c r="Z72" s="417">
        <f>W72</f>
        <v>28.695532500000002</v>
      </c>
      <c r="AA72" s="413">
        <f>2.3+2.5</f>
        <v>4.8</v>
      </c>
      <c r="AB72" s="414"/>
      <c r="AC72" s="414"/>
      <c r="AD72" s="415"/>
      <c r="AE72" s="358">
        <f>AA72*'Carichi unitari'!$C$22</f>
        <v>28.695532500000002</v>
      </c>
      <c r="AF72" s="358"/>
      <c r="AG72" s="358">
        <f>AE72*$E$25</f>
        <v>37.304192250000007</v>
      </c>
      <c r="AH72" s="417">
        <f>AE72</f>
        <v>28.695532500000002</v>
      </c>
      <c r="AI72" s="413">
        <f>2.3+2.5</f>
        <v>4.8</v>
      </c>
      <c r="AJ72" s="414"/>
      <c r="AK72" s="414"/>
      <c r="AL72" s="415"/>
      <c r="AM72" s="358">
        <f>AI72*'Carichi unitari'!$C$22</f>
        <v>28.695532500000002</v>
      </c>
      <c r="AN72" s="358"/>
      <c r="AO72" s="358">
        <f>AM72*$E$25</f>
        <v>37.304192250000007</v>
      </c>
      <c r="AP72" s="417">
        <f>AM72</f>
        <v>28.695532500000002</v>
      </c>
      <c r="AQ72" s="413"/>
      <c r="AR72" s="414"/>
      <c r="AS72" s="414"/>
      <c r="AT72" s="415"/>
      <c r="AU72" s="358"/>
      <c r="AV72" s="358"/>
      <c r="AW72" s="9"/>
      <c r="AX72" s="281"/>
    </row>
    <row r="73" spans="2:50" x14ac:dyDescent="0.3">
      <c r="B73" s="383" t="s">
        <v>358</v>
      </c>
      <c r="C73" s="413">
        <v>2.2999999999999998</v>
      </c>
      <c r="D73" s="414">
        <v>1</v>
      </c>
      <c r="E73" s="414">
        <v>2.5</v>
      </c>
      <c r="F73" s="414">
        <v>1.2</v>
      </c>
      <c r="G73" s="16">
        <f>(C73*D73+E73*F73)*'Carichi unitari'!$C$17</f>
        <v>26.441837662337662</v>
      </c>
      <c r="H73" s="16"/>
      <c r="I73" s="16">
        <f>G73*$E$25</f>
        <v>34.37438896103896</v>
      </c>
      <c r="J73" s="356">
        <f>G73</f>
        <v>26.441837662337662</v>
      </c>
      <c r="K73" s="413">
        <v>2.2999999999999998</v>
      </c>
      <c r="L73" s="414">
        <v>1</v>
      </c>
      <c r="M73" s="414">
        <v>2.5</v>
      </c>
      <c r="N73" s="414">
        <v>1.1000000000000001</v>
      </c>
      <c r="O73" s="16">
        <f>(K73*L73+M73*N73)*'Carichi unitari'!$C$17</f>
        <v>25.194581168831171</v>
      </c>
      <c r="P73" s="416"/>
      <c r="Q73" s="416">
        <f>O73*$E$25</f>
        <v>32.752955519480523</v>
      </c>
      <c r="R73" s="418">
        <f>O73</f>
        <v>25.194581168831171</v>
      </c>
      <c r="S73" s="413">
        <v>2.2999999999999998</v>
      </c>
      <c r="T73" s="414">
        <v>1</v>
      </c>
      <c r="U73" s="414">
        <v>2.5</v>
      </c>
      <c r="V73" s="414">
        <v>1.1000000000000001</v>
      </c>
      <c r="W73" s="416">
        <f>S73*T73+U73*V73*'Carichi unitari'!$C$17</f>
        <v>16.019821428571429</v>
      </c>
      <c r="X73" s="416"/>
      <c r="Y73" s="416">
        <f>W73*$E$25</f>
        <v>20.825767857142861</v>
      </c>
      <c r="Z73" s="418">
        <f>W73</f>
        <v>16.019821428571429</v>
      </c>
      <c r="AA73" s="413">
        <v>2.2999999999999998</v>
      </c>
      <c r="AB73" s="414">
        <v>1</v>
      </c>
      <c r="AC73" s="414">
        <v>2.5</v>
      </c>
      <c r="AD73" s="414">
        <v>1.1000000000000001</v>
      </c>
      <c r="AE73" s="416">
        <f>(AA73*AB73+AC73*AD73)*'Carichi unitari'!$C$18</f>
        <v>21.407081168831166</v>
      </c>
      <c r="AF73" s="416"/>
      <c r="AG73" s="416">
        <f>AE73*$E$25</f>
        <v>27.829205519480517</v>
      </c>
      <c r="AH73" s="418">
        <f>AE73</f>
        <v>21.407081168831166</v>
      </c>
      <c r="AI73" s="413">
        <v>2.2999999999999998</v>
      </c>
      <c r="AJ73" s="414">
        <v>1</v>
      </c>
      <c r="AK73" s="414">
        <v>2.5</v>
      </c>
      <c r="AL73" s="414">
        <v>1.1000000000000001</v>
      </c>
      <c r="AM73" s="416">
        <f>(AI73*AJ73+AK73*AL73)*'Carichi unitari'!$C$18</f>
        <v>21.407081168831166</v>
      </c>
      <c r="AN73" s="416"/>
      <c r="AO73" s="416">
        <f>AM73*$E$25</f>
        <v>27.829205519480517</v>
      </c>
      <c r="AP73" s="418">
        <f>AM73</f>
        <v>21.407081168831166</v>
      </c>
      <c r="AQ73" s="413">
        <v>2.2999999999999998</v>
      </c>
      <c r="AR73" s="414">
        <v>1</v>
      </c>
      <c r="AS73" s="414">
        <v>2.5</v>
      </c>
      <c r="AT73" s="414">
        <v>1.1000000000000001</v>
      </c>
      <c r="AU73" s="416">
        <f>(AQ73*AR73+AS73*AT73)*'Carichi unitari'!$C$19</f>
        <v>17.619581168831171</v>
      </c>
      <c r="AV73" s="416"/>
      <c r="AW73" s="16">
        <f>AU73*$E$25</f>
        <v>22.905455519480522</v>
      </c>
      <c r="AX73" s="356">
        <f>AU73</f>
        <v>17.619581168831171</v>
      </c>
    </row>
    <row r="74" spans="2:50" x14ac:dyDescent="0.3">
      <c r="B74" s="383" t="s">
        <v>45</v>
      </c>
      <c r="C74" s="413"/>
      <c r="D74" s="414"/>
      <c r="E74" s="414"/>
      <c r="F74" s="414"/>
      <c r="G74" s="358"/>
      <c r="H74" s="9"/>
      <c r="I74" s="9"/>
      <c r="J74" s="281"/>
      <c r="K74" s="413"/>
      <c r="L74" s="414"/>
      <c r="M74" s="414"/>
      <c r="N74" s="414"/>
      <c r="O74" s="358"/>
      <c r="P74" s="358"/>
      <c r="Q74" s="358"/>
      <c r="R74" s="417"/>
      <c r="S74" s="413"/>
      <c r="T74" s="414"/>
      <c r="U74" s="414"/>
      <c r="V74" s="414"/>
      <c r="W74" s="358"/>
      <c r="X74" s="358"/>
      <c r="Y74" s="358"/>
      <c r="Z74" s="417"/>
      <c r="AA74" s="413"/>
      <c r="AB74" s="414"/>
      <c r="AC74" s="414"/>
      <c r="AD74" s="414"/>
      <c r="AE74" s="358"/>
      <c r="AF74" s="358"/>
      <c r="AG74" s="358"/>
      <c r="AH74" s="417"/>
      <c r="AI74" s="413"/>
      <c r="AJ74" s="414"/>
      <c r="AK74" s="414"/>
      <c r="AL74" s="414"/>
      <c r="AM74" s="358"/>
      <c r="AN74" s="358"/>
      <c r="AO74" s="358"/>
      <c r="AP74" s="417"/>
      <c r="AQ74" s="37">
        <v>0.4</v>
      </c>
      <c r="AR74" s="400"/>
      <c r="AS74" s="400">
        <f>AS73+AQ73</f>
        <v>4.8</v>
      </c>
      <c r="AT74" s="400"/>
      <c r="AU74" s="9">
        <f>'Carichi unitari'!$C$15*AQ74*AS74</f>
        <v>6.7200000000000006</v>
      </c>
      <c r="AV74" s="9">
        <f>AQ74*AS74*'Carichi unitari'!$D$15</f>
        <v>0.96</v>
      </c>
      <c r="AW74" s="9">
        <f>AU74*$E$25+AV74*$F$25</f>
        <v>10.176</v>
      </c>
      <c r="AX74" s="281">
        <f>AU74+AV74*$I$24</f>
        <v>7.2960000000000003</v>
      </c>
    </row>
    <row r="75" spans="2:50" x14ac:dyDescent="0.3">
      <c r="B75" s="383" t="s">
        <v>247</v>
      </c>
      <c r="C75" s="388"/>
      <c r="D75" s="385"/>
      <c r="E75" s="385"/>
      <c r="F75" s="385"/>
      <c r="G75" s="9">
        <f>'Carichi unitari'!$C$23</f>
        <v>16.799999999999997</v>
      </c>
      <c r="H75" s="9"/>
      <c r="I75" s="9">
        <f>G75*$E$25</f>
        <v>21.839999999999996</v>
      </c>
      <c r="J75" s="281">
        <f>G75</f>
        <v>16.799999999999997</v>
      </c>
      <c r="K75" s="388"/>
      <c r="L75" s="385"/>
      <c r="M75" s="414"/>
      <c r="N75" s="414"/>
      <c r="O75" s="358">
        <f>'Carichi unitari'!$C$24</f>
        <v>14.400000000000002</v>
      </c>
      <c r="P75" s="358"/>
      <c r="Q75" s="358">
        <f>O75*$E$25</f>
        <v>18.720000000000002</v>
      </c>
      <c r="R75" s="417">
        <f>O75</f>
        <v>14.400000000000002</v>
      </c>
      <c r="S75" s="413"/>
      <c r="T75" s="414"/>
      <c r="U75" s="414"/>
      <c r="V75" s="414"/>
      <c r="W75" s="358">
        <f>'Carichi unitari'!$C$25</f>
        <v>13.125</v>
      </c>
      <c r="X75" s="358"/>
      <c r="Y75" s="358">
        <f>W75*$E$25</f>
        <v>17.0625</v>
      </c>
      <c r="Z75" s="417">
        <f>W75</f>
        <v>13.125</v>
      </c>
      <c r="AA75" s="413"/>
      <c r="AB75" s="414"/>
      <c r="AC75" s="414"/>
      <c r="AD75" s="414"/>
      <c r="AE75" s="358">
        <f>'Carichi unitari'!$C$25</f>
        <v>13.125</v>
      </c>
      <c r="AF75" s="358"/>
      <c r="AG75" s="358">
        <f>AE75*$E$25</f>
        <v>17.0625</v>
      </c>
      <c r="AH75" s="417">
        <f>AE75</f>
        <v>13.125</v>
      </c>
      <c r="AI75" s="413"/>
      <c r="AJ75" s="414"/>
      <c r="AK75" s="414"/>
      <c r="AL75" s="414"/>
      <c r="AM75" s="358">
        <f>'Carichi unitari'!$C$26</f>
        <v>11.700000000000001</v>
      </c>
      <c r="AN75" s="358"/>
      <c r="AO75" s="358">
        <f>AM75*$E$25</f>
        <v>15.210000000000003</v>
      </c>
      <c r="AP75" s="417">
        <f>AM75</f>
        <v>11.700000000000001</v>
      </c>
      <c r="AQ75" s="413"/>
      <c r="AR75" s="414"/>
      <c r="AS75" s="414"/>
      <c r="AT75" s="414"/>
      <c r="AU75" s="358">
        <f>'Carichi unitari'!$C$26</f>
        <v>11.700000000000001</v>
      </c>
      <c r="AV75" s="358"/>
      <c r="AW75" s="9">
        <f>AU75*$E$25</f>
        <v>15.210000000000003</v>
      </c>
      <c r="AX75" s="281">
        <f>AU75</f>
        <v>11.700000000000001</v>
      </c>
    </row>
    <row r="76" spans="2:50" ht="15" thickBot="1" x14ac:dyDescent="0.35">
      <c r="B76" s="384" t="s">
        <v>380</v>
      </c>
      <c r="C76" s="389"/>
      <c r="D76" s="390"/>
      <c r="E76" s="390"/>
      <c r="F76" s="390"/>
      <c r="G76" s="301"/>
      <c r="H76" s="301"/>
      <c r="I76" s="350">
        <f>SUM(I69:I75)</f>
        <v>263.5735000422078</v>
      </c>
      <c r="J76" s="352">
        <f>SUM(J69:J75)</f>
        <v>174.14500003246752</v>
      </c>
      <c r="K76" s="389"/>
      <c r="L76" s="390"/>
      <c r="M76" s="390"/>
      <c r="N76" s="390"/>
      <c r="O76" s="301"/>
      <c r="P76" s="301"/>
      <c r="Q76" s="350">
        <f>SUM(Q69:Q75)</f>
        <v>253.75580036688311</v>
      </c>
      <c r="R76" s="352">
        <f>SUM(R69:R75)</f>
        <v>167.44676951298703</v>
      </c>
      <c r="S76" s="389"/>
      <c r="T76" s="390"/>
      <c r="U76" s="390"/>
      <c r="V76" s="390"/>
      <c r="W76" s="301"/>
      <c r="X76" s="301"/>
      <c r="Y76" s="350">
        <f>SUM(Y69:Y75)</f>
        <v>240.17111270454546</v>
      </c>
      <c r="Z76" s="352">
        <f>SUM(Z69:Z75)</f>
        <v>156.9970097727273</v>
      </c>
      <c r="AA76" s="389"/>
      <c r="AB76" s="390"/>
      <c r="AC76" s="390"/>
      <c r="AD76" s="390"/>
      <c r="AE76" s="301"/>
      <c r="AF76" s="301"/>
      <c r="AG76" s="350">
        <f>SUM(AG69:AG75)</f>
        <v>247.17455036688312</v>
      </c>
      <c r="AH76" s="352">
        <f>SUM(AH69:AH75)</f>
        <v>162.38426951298703</v>
      </c>
      <c r="AI76" s="389"/>
      <c r="AJ76" s="390"/>
      <c r="AK76" s="390"/>
      <c r="AL76" s="390"/>
      <c r="AM76" s="301"/>
      <c r="AN76" s="301"/>
      <c r="AO76" s="350">
        <f>SUM(AO69:AO75)</f>
        <v>245.32205036688313</v>
      </c>
      <c r="AP76" s="352">
        <f>SUM(AP69:AP75)</f>
        <v>160.95926951298702</v>
      </c>
      <c r="AQ76" s="389"/>
      <c r="AR76" s="390"/>
      <c r="AS76" s="390"/>
      <c r="AT76" s="390"/>
      <c r="AU76" s="301"/>
      <c r="AV76" s="301"/>
      <c r="AW76" s="350">
        <f>SUM(AW69:AW75)</f>
        <v>213.27010811688311</v>
      </c>
      <c r="AX76" s="352">
        <f>SUM(AX69:AX75)</f>
        <v>135.77223701298703</v>
      </c>
    </row>
    <row r="77" spans="2:50" ht="16.2" thickBot="1" x14ac:dyDescent="0.35">
      <c r="C77" s="602" t="s">
        <v>381</v>
      </c>
      <c r="D77" s="603"/>
      <c r="E77" s="603"/>
      <c r="F77" s="603"/>
      <c r="G77" s="603"/>
      <c r="H77" s="603"/>
      <c r="I77" s="603"/>
      <c r="J77" s="603"/>
      <c r="K77" s="602" t="s">
        <v>382</v>
      </c>
      <c r="L77" s="603"/>
      <c r="M77" s="603"/>
      <c r="N77" s="603"/>
      <c r="O77" s="603"/>
      <c r="P77" s="603"/>
      <c r="Q77" s="603"/>
      <c r="R77" s="603"/>
      <c r="S77" s="602" t="s">
        <v>383</v>
      </c>
      <c r="T77" s="603"/>
      <c r="U77" s="603"/>
      <c r="V77" s="603"/>
      <c r="W77" s="603"/>
      <c r="X77" s="603"/>
      <c r="Y77" s="603"/>
      <c r="Z77" s="603"/>
      <c r="AA77" s="602" t="s">
        <v>384</v>
      </c>
      <c r="AB77" s="603"/>
      <c r="AC77" s="603"/>
      <c r="AD77" s="603"/>
      <c r="AE77" s="603"/>
      <c r="AF77" s="603"/>
      <c r="AG77" s="603"/>
      <c r="AH77" s="603"/>
      <c r="AI77" s="602" t="s">
        <v>385</v>
      </c>
      <c r="AJ77" s="603"/>
      <c r="AK77" s="603"/>
      <c r="AL77" s="603"/>
      <c r="AM77" s="603"/>
      <c r="AN77" s="603"/>
      <c r="AO77" s="603"/>
      <c r="AP77" s="603"/>
      <c r="AQ77" s="602" t="s">
        <v>386</v>
      </c>
      <c r="AR77" s="603"/>
      <c r="AS77" s="603"/>
      <c r="AT77" s="603"/>
      <c r="AU77" s="603"/>
      <c r="AV77" s="603"/>
      <c r="AW77" s="603"/>
      <c r="AX77" s="603"/>
    </row>
    <row r="78" spans="2:50" ht="46.2" thickBot="1" x14ac:dyDescent="0.35">
      <c r="B78" s="379" t="s">
        <v>370</v>
      </c>
      <c r="C78" s="313" t="s">
        <v>241</v>
      </c>
      <c r="D78" s="314" t="s">
        <v>242</v>
      </c>
      <c r="E78" s="313" t="s">
        <v>241</v>
      </c>
      <c r="F78" s="314" t="s">
        <v>242</v>
      </c>
      <c r="G78" s="315" t="s">
        <v>8</v>
      </c>
      <c r="H78" s="315" t="s">
        <v>9</v>
      </c>
      <c r="I78" s="316" t="s">
        <v>253</v>
      </c>
      <c r="J78" s="317" t="s">
        <v>254</v>
      </c>
      <c r="K78" s="313" t="s">
        <v>241</v>
      </c>
      <c r="L78" s="314" t="s">
        <v>242</v>
      </c>
      <c r="M78" s="313" t="s">
        <v>241</v>
      </c>
      <c r="N78" s="314" t="s">
        <v>242</v>
      </c>
      <c r="O78" s="315" t="s">
        <v>8</v>
      </c>
      <c r="P78" s="315" t="s">
        <v>9</v>
      </c>
      <c r="Q78" s="316" t="s">
        <v>253</v>
      </c>
      <c r="R78" s="317" t="s">
        <v>254</v>
      </c>
      <c r="S78" s="313" t="s">
        <v>241</v>
      </c>
      <c r="T78" s="314" t="s">
        <v>242</v>
      </c>
      <c r="U78" s="313" t="s">
        <v>241</v>
      </c>
      <c r="V78" s="314" t="s">
        <v>242</v>
      </c>
      <c r="W78" s="315" t="s">
        <v>8</v>
      </c>
      <c r="X78" s="315" t="s">
        <v>9</v>
      </c>
      <c r="Y78" s="316" t="s">
        <v>253</v>
      </c>
      <c r="Z78" s="317" t="s">
        <v>254</v>
      </c>
      <c r="AA78" s="313" t="s">
        <v>241</v>
      </c>
      <c r="AB78" s="314" t="s">
        <v>242</v>
      </c>
      <c r="AC78" s="313" t="s">
        <v>241</v>
      </c>
      <c r="AD78" s="314" t="s">
        <v>242</v>
      </c>
      <c r="AE78" s="315" t="s">
        <v>8</v>
      </c>
      <c r="AF78" s="315" t="s">
        <v>9</v>
      </c>
      <c r="AG78" s="316" t="s">
        <v>253</v>
      </c>
      <c r="AH78" s="317" t="s">
        <v>254</v>
      </c>
      <c r="AI78" s="313" t="s">
        <v>241</v>
      </c>
      <c r="AJ78" s="314" t="s">
        <v>242</v>
      </c>
      <c r="AK78" s="313" t="s">
        <v>241</v>
      </c>
      <c r="AL78" s="314" t="s">
        <v>242</v>
      </c>
      <c r="AM78" s="315" t="s">
        <v>8</v>
      </c>
      <c r="AN78" s="315" t="s">
        <v>9</v>
      </c>
      <c r="AO78" s="316" t="s">
        <v>253</v>
      </c>
      <c r="AP78" s="317" t="s">
        <v>254</v>
      </c>
      <c r="AQ78" s="313" t="s">
        <v>241</v>
      </c>
      <c r="AR78" s="314" t="s">
        <v>242</v>
      </c>
      <c r="AS78" s="313" t="s">
        <v>241</v>
      </c>
      <c r="AT78" s="314" t="s">
        <v>242</v>
      </c>
      <c r="AU78" s="315" t="s">
        <v>8</v>
      </c>
      <c r="AV78" s="315" t="s">
        <v>9</v>
      </c>
      <c r="AW78" s="316" t="s">
        <v>253</v>
      </c>
      <c r="AX78" s="317" t="s">
        <v>254</v>
      </c>
    </row>
    <row r="79" spans="2:50" ht="15" thickBot="1" x14ac:dyDescent="0.35">
      <c r="B79" s="380" t="s">
        <v>42</v>
      </c>
      <c r="C79" s="386">
        <f>2.5</f>
        <v>2.5</v>
      </c>
      <c r="D79" s="387">
        <v>1</v>
      </c>
      <c r="E79" s="387">
        <v>2.5</v>
      </c>
      <c r="F79" s="166">
        <v>1</v>
      </c>
      <c r="G79" s="378">
        <f>('Carichi unitari'!$C$11+'Carichi unitari'!$C$10)*C79*D79*E79*F79</f>
        <v>34.387175324675326</v>
      </c>
      <c r="H79" s="319">
        <f>'Carichi unitari'!$D$10*C79*D79*E79*F79</f>
        <v>12.5</v>
      </c>
      <c r="I79" s="378">
        <f>G79*$E$25+H79*$F$25</f>
        <v>63.453327922077925</v>
      </c>
      <c r="J79" s="320">
        <f>G79+H79*$H$24</f>
        <v>38.137175324675326</v>
      </c>
      <c r="K79" s="386">
        <f>2.5</f>
        <v>2.5</v>
      </c>
      <c r="L79" s="387">
        <v>1</v>
      </c>
      <c r="M79" s="387">
        <v>2.5</v>
      </c>
      <c r="N79" s="166">
        <v>1.1000000000000001</v>
      </c>
      <c r="O79" s="378">
        <f>('Carichi unitari'!$C$11+'Carichi unitari'!$C$10)*K79*L79*M79*N79</f>
        <v>37.825892857142861</v>
      </c>
      <c r="P79" s="319">
        <f>'Carichi unitari'!$D$10*K79*L79*M79*N79</f>
        <v>13.750000000000002</v>
      </c>
      <c r="Q79" s="378">
        <f>O79*$E$25+P79*$F$25</f>
        <v>69.798660714285731</v>
      </c>
      <c r="R79" s="320">
        <f>O79+P79*$H$24</f>
        <v>41.950892857142861</v>
      </c>
      <c r="S79" s="386">
        <f>2.5</f>
        <v>2.5</v>
      </c>
      <c r="T79" s="387">
        <v>1</v>
      </c>
      <c r="U79" s="387">
        <v>2.5</v>
      </c>
      <c r="V79" s="166">
        <v>1.1000000000000001</v>
      </c>
      <c r="W79" s="378">
        <f>('Carichi unitari'!$C$11+'Carichi unitari'!$C$10)*S79*T79*U79*V79</f>
        <v>37.825892857142861</v>
      </c>
      <c r="X79" s="319">
        <f>'Carichi unitari'!$D$10*S79*T79*U79*V79</f>
        <v>13.750000000000002</v>
      </c>
      <c r="Y79" s="378">
        <f>W79*$E$25+X79*$F$25</f>
        <v>69.798660714285731</v>
      </c>
      <c r="Z79" s="320">
        <f>W79+X79*$H$24</f>
        <v>41.950892857142861</v>
      </c>
      <c r="AA79" s="386">
        <f>2.5</f>
        <v>2.5</v>
      </c>
      <c r="AB79" s="387">
        <v>1</v>
      </c>
      <c r="AC79" s="387">
        <v>2.5</v>
      </c>
      <c r="AD79" s="166">
        <v>1.1000000000000001</v>
      </c>
      <c r="AE79" s="378">
        <f>('Carichi unitari'!$C$11+'Carichi unitari'!$C$10)*AA79*AB79*AC79*AD79</f>
        <v>37.825892857142861</v>
      </c>
      <c r="AF79" s="319">
        <f>'Carichi unitari'!$D$10*AA79*AB79*AC79*AD79</f>
        <v>13.750000000000002</v>
      </c>
      <c r="AG79" s="378">
        <f>AE79*$E$25+AF79*$F$25</f>
        <v>69.798660714285731</v>
      </c>
      <c r="AH79" s="320">
        <f>AE79+AF79*$H$24</f>
        <v>41.950892857142861</v>
      </c>
      <c r="AI79" s="386">
        <f>2.5</f>
        <v>2.5</v>
      </c>
      <c r="AJ79" s="387">
        <v>1</v>
      </c>
      <c r="AK79" s="387">
        <v>2.5</v>
      </c>
      <c r="AL79" s="166">
        <v>1.1000000000000001</v>
      </c>
      <c r="AM79" s="378">
        <f>('Carichi unitari'!$C$11+'Carichi unitari'!$C$10)*AI79*AJ79*AK79*AL79</f>
        <v>37.825892857142861</v>
      </c>
      <c r="AN79" s="319">
        <f>'Carichi unitari'!$D$10*AI79*AJ79*AK79*AL79</f>
        <v>13.750000000000002</v>
      </c>
      <c r="AO79" s="378">
        <f>AM79*$E$25+AN79*$F$25</f>
        <v>69.798660714285731</v>
      </c>
      <c r="AP79" s="320">
        <f>AM79+AN79*$H$24</f>
        <v>41.950892857142861</v>
      </c>
      <c r="AQ79" s="386">
        <f>2.5</f>
        <v>2.5</v>
      </c>
      <c r="AR79" s="387">
        <v>1</v>
      </c>
      <c r="AS79" s="387">
        <v>2.5</v>
      </c>
      <c r="AT79" s="166">
        <v>1.1000000000000001</v>
      </c>
      <c r="AU79" s="378">
        <f>('Carichi unitari'!$C$11+'Carichi unitari'!$C$10)*AQ79*AR79*AS79*AT79</f>
        <v>37.825892857142861</v>
      </c>
      <c r="AV79" s="319">
        <f>'Carichi unitari'!$D$10*AQ79*AR79*AS79*AT79</f>
        <v>13.750000000000002</v>
      </c>
      <c r="AW79" s="378">
        <f>AU79*$E$25+AV79*$F$25</f>
        <v>69.798660714285731</v>
      </c>
      <c r="AX79" s="320">
        <f>AU79+AV79*$H$24</f>
        <v>41.950892857142861</v>
      </c>
    </row>
    <row r="80" spans="2:50" x14ac:dyDescent="0.3">
      <c r="B80" s="380" t="s">
        <v>42</v>
      </c>
      <c r="C80" s="37">
        <f>2.3</f>
        <v>2.2999999999999998</v>
      </c>
      <c r="D80" s="400">
        <v>1</v>
      </c>
      <c r="E80" s="400">
        <v>2.5</v>
      </c>
      <c r="F80" s="50">
        <v>1</v>
      </c>
      <c r="G80" s="329">
        <f>('Carichi unitari'!$C$11+'Carichi unitari'!$C$10)*C80*D80*E80*F80</f>
        <v>31.636201298701302</v>
      </c>
      <c r="H80" s="9">
        <f>'Carichi unitari'!$D$10*C80*D80*E80*F80</f>
        <v>11.5</v>
      </c>
      <c r="I80" s="329">
        <f>G80*$E$25+H80*$F$25</f>
        <v>58.377061688311692</v>
      </c>
      <c r="J80" s="281">
        <f>G80+H80*$H$24</f>
        <v>35.086201298701305</v>
      </c>
      <c r="K80" s="37">
        <f>2.3</f>
        <v>2.2999999999999998</v>
      </c>
      <c r="L80" s="400">
        <v>1</v>
      </c>
      <c r="M80" s="400">
        <v>2.5</v>
      </c>
      <c r="N80" s="50">
        <v>1.1000000000000001</v>
      </c>
      <c r="O80" s="329">
        <f>('Carichi unitari'!$C$11+'Carichi unitari'!$C$10)*K80*L80*M80*N80</f>
        <v>34.799821428571434</v>
      </c>
      <c r="P80" s="9">
        <f>'Carichi unitari'!$D$10*K80*L80*M80*N80</f>
        <v>12.65</v>
      </c>
      <c r="Q80" s="329">
        <f>O80*$E$25+P80*$F$25</f>
        <v>64.214767857142874</v>
      </c>
      <c r="R80" s="281">
        <f>O80+P80*$H$24</f>
        <v>38.594821428571436</v>
      </c>
      <c r="S80" s="37">
        <f>2.3</f>
        <v>2.2999999999999998</v>
      </c>
      <c r="T80" s="400">
        <v>1</v>
      </c>
      <c r="U80" s="400">
        <v>2.5</v>
      </c>
      <c r="V80" s="50">
        <v>1.1000000000000001</v>
      </c>
      <c r="W80" s="329">
        <f>('Carichi unitari'!$C$11+'Carichi unitari'!$C$10)*S80*T80*U80*V80</f>
        <v>34.799821428571434</v>
      </c>
      <c r="X80" s="9">
        <f>'Carichi unitari'!$D$10*S80*T80*U80*V80</f>
        <v>12.65</v>
      </c>
      <c r="Y80" s="329">
        <f>W80*$E$25+X80*$F$25</f>
        <v>64.214767857142874</v>
      </c>
      <c r="Z80" s="281">
        <f>W80+X80*$H$24</f>
        <v>38.594821428571436</v>
      </c>
      <c r="AA80" s="37">
        <f>2.3</f>
        <v>2.2999999999999998</v>
      </c>
      <c r="AB80" s="400">
        <v>1</v>
      </c>
      <c r="AC80" s="400">
        <v>2.5</v>
      </c>
      <c r="AD80" s="50">
        <v>1.1000000000000001</v>
      </c>
      <c r="AE80" s="329">
        <f>('Carichi unitari'!$C$11+'Carichi unitari'!$C$10)*AA80*AB80*AC80*AD80</f>
        <v>34.799821428571434</v>
      </c>
      <c r="AF80" s="9">
        <f>'Carichi unitari'!$D$10*AA80*AB80*AC80*AD80</f>
        <v>12.65</v>
      </c>
      <c r="AG80" s="329">
        <f>AE80*$E$25+AF80*$F$25</f>
        <v>64.214767857142874</v>
      </c>
      <c r="AH80" s="281">
        <f>AE80+AF80*$H$24</f>
        <v>38.594821428571436</v>
      </c>
      <c r="AI80" s="37">
        <f>2.3</f>
        <v>2.2999999999999998</v>
      </c>
      <c r="AJ80" s="400">
        <v>1</v>
      </c>
      <c r="AK80" s="400">
        <v>2.5</v>
      </c>
      <c r="AL80" s="50">
        <v>1.1000000000000001</v>
      </c>
      <c r="AM80" s="329">
        <f>('Carichi unitari'!$C$11+'Carichi unitari'!$C$10)*AI80*AJ80*AK80*AL80</f>
        <v>34.799821428571434</v>
      </c>
      <c r="AN80" s="9">
        <f>'Carichi unitari'!$D$10*AI80*AJ80*AK80*AL80</f>
        <v>12.65</v>
      </c>
      <c r="AO80" s="329">
        <f>AM80*$E$25+AN80*$F$25</f>
        <v>64.214767857142874</v>
      </c>
      <c r="AP80" s="281">
        <f>AM80+AN80*$H$24</f>
        <v>38.594821428571436</v>
      </c>
      <c r="AQ80" s="37">
        <f>2.3</f>
        <v>2.2999999999999998</v>
      </c>
      <c r="AR80" s="400">
        <v>1</v>
      </c>
      <c r="AS80" s="400">
        <v>2.5</v>
      </c>
      <c r="AT80" s="50">
        <v>1.1000000000000001</v>
      </c>
      <c r="AU80" s="329">
        <f>('Carichi unitari'!$C$11+'Carichi unitari'!$C$10)*AQ80*AR80*AS80*AT80</f>
        <v>34.799821428571434</v>
      </c>
      <c r="AV80" s="9">
        <f>'Carichi unitari'!$D$10*AQ80*AR80*AS80*AT80</f>
        <v>12.65</v>
      </c>
      <c r="AW80" s="329">
        <f>AU80*$E$25+AV80*$F$25</f>
        <v>64.214767857142874</v>
      </c>
      <c r="AX80" s="281">
        <f>AU80+AV80*$H$24</f>
        <v>38.594821428571436</v>
      </c>
    </row>
    <row r="81" spans="2:50" x14ac:dyDescent="0.3">
      <c r="B81" s="381" t="s">
        <v>45</v>
      </c>
      <c r="C81" s="37"/>
      <c r="D81" s="400"/>
      <c r="E81" s="400"/>
      <c r="F81" s="400"/>
      <c r="G81" s="9"/>
      <c r="H81" s="9"/>
      <c r="I81" s="9"/>
      <c r="J81" s="281"/>
      <c r="K81" s="408">
        <v>1.5</v>
      </c>
      <c r="L81" s="400"/>
      <c r="M81" s="400">
        <v>4.5</v>
      </c>
      <c r="N81" s="400"/>
      <c r="O81" s="9">
        <f>'Carichi unitari'!$C$14*K81*M81</f>
        <v>26.531404958677687</v>
      </c>
      <c r="P81" s="9">
        <f>K81*M81*'Carichi unitari'!$D$14</f>
        <v>27</v>
      </c>
      <c r="Q81" s="9">
        <f>O81*$E$25+P81*$F$25</f>
        <v>74.990826446280991</v>
      </c>
      <c r="R81" s="281">
        <f>O81+P81*$I$24</f>
        <v>42.731404958677686</v>
      </c>
      <c r="S81" s="408">
        <v>1.5</v>
      </c>
      <c r="T81" s="400"/>
      <c r="U81" s="400">
        <v>4.5</v>
      </c>
      <c r="V81" s="400"/>
      <c r="W81" s="9">
        <f>'Carichi unitari'!$C$14*S81*U81</f>
        <v>26.531404958677687</v>
      </c>
      <c r="X81" s="9">
        <f>S81*U81*'Carichi unitari'!$D$14</f>
        <v>27</v>
      </c>
      <c r="Y81" s="9">
        <f>W81*$E$25+X81*$F$25</f>
        <v>74.990826446280991</v>
      </c>
      <c r="Z81" s="281">
        <f>W81+X81*$I$24</f>
        <v>42.731404958677686</v>
      </c>
      <c r="AA81" s="408">
        <v>1.5</v>
      </c>
      <c r="AB81" s="400"/>
      <c r="AC81" s="400">
        <v>4.5</v>
      </c>
      <c r="AD81" s="400"/>
      <c r="AE81" s="9">
        <f>'Carichi unitari'!$C$14*AA81*AC81</f>
        <v>26.531404958677687</v>
      </c>
      <c r="AF81" s="9">
        <f>AA81*AC81*'Carichi unitari'!$D$14</f>
        <v>27</v>
      </c>
      <c r="AG81" s="9">
        <f>AE81*$E$25+AF81*$F$25</f>
        <v>74.990826446280991</v>
      </c>
      <c r="AH81" s="281">
        <f>AE81+AF81*$I$24</f>
        <v>42.731404958677686</v>
      </c>
      <c r="AI81" s="408">
        <v>1.5</v>
      </c>
      <c r="AJ81" s="400"/>
      <c r="AK81" s="400">
        <v>4.5</v>
      </c>
      <c r="AL81" s="400"/>
      <c r="AM81" s="9">
        <f>'Carichi unitari'!$C$14*AI81*AK81</f>
        <v>26.531404958677687</v>
      </c>
      <c r="AN81" s="9">
        <f>AI81*AK81*'Carichi unitari'!$D$14</f>
        <v>27</v>
      </c>
      <c r="AO81" s="9">
        <f>AM81*$E$25+AN81*$F$25</f>
        <v>74.990826446280991</v>
      </c>
      <c r="AP81" s="281">
        <f>AM81+AN81*$I$24</f>
        <v>42.731404958677686</v>
      </c>
      <c r="AQ81" s="37">
        <v>0.4</v>
      </c>
      <c r="AR81" s="400"/>
      <c r="AS81" s="400">
        <v>4.5</v>
      </c>
      <c r="AT81" s="400"/>
      <c r="AU81" s="9">
        <f>'Carichi unitari'!$C$15*AQ81*AS81</f>
        <v>6.3000000000000007</v>
      </c>
      <c r="AV81" s="9">
        <f>AQ81*AS81*'Carichi unitari'!$D$15</f>
        <v>0.9</v>
      </c>
      <c r="AW81" s="9">
        <f>AU81*$E$25+AV81*$F$25</f>
        <v>9.5400000000000009</v>
      </c>
      <c r="AX81" s="281">
        <f>AU81+AV81*$I$24</f>
        <v>6.8400000000000007</v>
      </c>
    </row>
    <row r="82" spans="2:50" x14ac:dyDescent="0.3">
      <c r="B82" s="382" t="s">
        <v>357</v>
      </c>
      <c r="C82" s="388">
        <v>4.8</v>
      </c>
      <c r="D82" s="385"/>
      <c r="E82" s="385"/>
      <c r="F82" s="385"/>
      <c r="G82" s="9">
        <f>C82*'Carichi unitari'!$C$22</f>
        <v>28.695532500000002</v>
      </c>
      <c r="H82" s="9"/>
      <c r="I82" s="9">
        <f>G82*$E$25</f>
        <v>37.304192250000007</v>
      </c>
      <c r="J82" s="281">
        <f>G82</f>
        <v>28.695532500000002</v>
      </c>
      <c r="K82" s="388">
        <v>4.8</v>
      </c>
      <c r="L82" s="385"/>
      <c r="M82" s="385"/>
      <c r="N82" s="385"/>
      <c r="O82" s="9">
        <f>K82*'Carichi unitari'!$C$22</f>
        <v>28.695532500000002</v>
      </c>
      <c r="P82" s="9"/>
      <c r="Q82" s="9">
        <f>O82*$E$25</f>
        <v>37.304192250000007</v>
      </c>
      <c r="R82" s="281">
        <f>O82</f>
        <v>28.695532500000002</v>
      </c>
      <c r="S82" s="388">
        <v>4.8</v>
      </c>
      <c r="T82" s="385"/>
      <c r="U82" s="385"/>
      <c r="V82" s="385"/>
      <c r="W82" s="9">
        <f>S82*'Carichi unitari'!$C$22</f>
        <v>28.695532500000002</v>
      </c>
      <c r="X82" s="9"/>
      <c r="Y82" s="9">
        <f>W82*$E$25</f>
        <v>37.304192250000007</v>
      </c>
      <c r="Z82" s="281">
        <f>W82</f>
        <v>28.695532500000002</v>
      </c>
      <c r="AA82" s="388">
        <v>4.8</v>
      </c>
      <c r="AB82" s="385"/>
      <c r="AC82" s="385"/>
      <c r="AD82" s="385"/>
      <c r="AE82" s="9">
        <f>AA82*'Carichi unitari'!$C$22</f>
        <v>28.695532500000002</v>
      </c>
      <c r="AF82" s="9"/>
      <c r="AG82" s="9">
        <f>AE82*$E$25</f>
        <v>37.304192250000007</v>
      </c>
      <c r="AH82" s="281">
        <f>AE82</f>
        <v>28.695532500000002</v>
      </c>
      <c r="AI82" s="388">
        <v>4.8</v>
      </c>
      <c r="AJ82" s="385"/>
      <c r="AK82" s="385"/>
      <c r="AL82" s="385"/>
      <c r="AM82" s="9">
        <f>AI82*'Carichi unitari'!$C$22</f>
        <v>28.695532500000002</v>
      </c>
      <c r="AN82" s="9"/>
      <c r="AO82" s="9">
        <f>AM82*$E$25</f>
        <v>37.304192250000007</v>
      </c>
      <c r="AP82" s="281">
        <f>AM82</f>
        <v>28.695532500000002</v>
      </c>
      <c r="AQ82" s="388"/>
      <c r="AR82" s="385"/>
      <c r="AS82" s="385"/>
      <c r="AT82" s="385"/>
      <c r="AU82" s="9"/>
      <c r="AV82" s="9"/>
      <c r="AW82" s="9"/>
      <c r="AX82" s="281"/>
    </row>
    <row r="83" spans="2:50" x14ac:dyDescent="0.3">
      <c r="B83" s="383" t="s">
        <v>358</v>
      </c>
      <c r="C83" s="419">
        <v>4.5</v>
      </c>
      <c r="D83" s="420">
        <v>1</v>
      </c>
      <c r="E83" s="420">
        <v>2.5</v>
      </c>
      <c r="F83" s="420">
        <v>1</v>
      </c>
      <c r="G83" s="16">
        <f>(C83*D83+E83*F83)*'Carichi unitari'!$C$17</f>
        <v>34.923181818181817</v>
      </c>
      <c r="H83" s="16"/>
      <c r="I83" s="16">
        <f>G83*$E$25</f>
        <v>45.400136363636364</v>
      </c>
      <c r="J83" s="356">
        <f>G83</f>
        <v>34.923181818181817</v>
      </c>
      <c r="K83" s="419">
        <v>4.5</v>
      </c>
      <c r="L83" s="420">
        <v>1</v>
      </c>
      <c r="M83" s="420">
        <v>2.5</v>
      </c>
      <c r="N83" s="420">
        <v>1.1000000000000001</v>
      </c>
      <c r="O83" s="16">
        <f>(K83*L83+M83*N83)*'Carichi unitari'!$C$17</f>
        <v>36.170438311688315</v>
      </c>
      <c r="P83" s="9"/>
      <c r="Q83" s="9">
        <f>O83*$E$25</f>
        <v>47.021569805194808</v>
      </c>
      <c r="R83" s="281">
        <f>O83</f>
        <v>36.170438311688315</v>
      </c>
      <c r="S83" s="419">
        <v>4.5</v>
      </c>
      <c r="T83" s="420">
        <v>1</v>
      </c>
      <c r="U83" s="420">
        <v>2.5</v>
      </c>
      <c r="V83" s="420">
        <v>1.1000000000000001</v>
      </c>
      <c r="W83" s="9">
        <f>(S83*T83+U83*V83)*'Carichi unitari'!$C$17</f>
        <v>36.170438311688315</v>
      </c>
      <c r="X83" s="9"/>
      <c r="Y83" s="9">
        <f>W83*$E$25</f>
        <v>47.021569805194808</v>
      </c>
      <c r="Z83" s="281">
        <f>W83</f>
        <v>36.170438311688315</v>
      </c>
      <c r="AA83" s="419">
        <v>4.5</v>
      </c>
      <c r="AB83" s="420">
        <v>1</v>
      </c>
      <c r="AC83" s="420">
        <v>2.5</v>
      </c>
      <c r="AD83" s="420">
        <v>1.1000000000000001</v>
      </c>
      <c r="AE83" s="9">
        <f>(AA83*AB83+AC83*AD83)*'Carichi unitari'!$C$18</f>
        <v>30.732938311688308</v>
      </c>
      <c r="AF83" s="9"/>
      <c r="AG83" s="9">
        <f>AE83*$E$25</f>
        <v>39.9528198051948</v>
      </c>
      <c r="AH83" s="281">
        <f>AE83</f>
        <v>30.732938311688308</v>
      </c>
      <c r="AI83" s="419">
        <v>4.5</v>
      </c>
      <c r="AJ83" s="420">
        <v>1</v>
      </c>
      <c r="AK83" s="420">
        <v>2.5</v>
      </c>
      <c r="AL83" s="420">
        <v>1.1000000000000001</v>
      </c>
      <c r="AM83" s="9">
        <f>(AI83*AJ83+AK83*AL83)*'Carichi unitari'!$C$18</f>
        <v>30.732938311688308</v>
      </c>
      <c r="AN83" s="9"/>
      <c r="AO83" s="9">
        <f>AM83*$E$25</f>
        <v>39.9528198051948</v>
      </c>
      <c r="AP83" s="281">
        <f>AM83</f>
        <v>30.732938311688308</v>
      </c>
      <c r="AQ83" s="419">
        <v>4.5</v>
      </c>
      <c r="AR83" s="420">
        <v>1</v>
      </c>
      <c r="AS83" s="420">
        <v>2.5</v>
      </c>
      <c r="AT83" s="420">
        <v>1.1000000000000001</v>
      </c>
      <c r="AU83" s="9">
        <f>(AQ83*AR83+AS83*AT83)*'Carichi unitari'!$C$19</f>
        <v>25.295438311688315</v>
      </c>
      <c r="AV83" s="9"/>
      <c r="AW83" s="9">
        <f>AU83*$E$25</f>
        <v>32.884069805194812</v>
      </c>
      <c r="AX83" s="281">
        <f>AU83</f>
        <v>25.295438311688315</v>
      </c>
    </row>
    <row r="84" spans="2:50" x14ac:dyDescent="0.3">
      <c r="B84" s="383" t="s">
        <v>359</v>
      </c>
      <c r="C84" s="388"/>
      <c r="D84" s="385"/>
      <c r="E84" s="385"/>
      <c r="F84" s="385"/>
      <c r="G84" s="9"/>
      <c r="H84" s="9"/>
      <c r="I84" s="9"/>
      <c r="J84" s="281"/>
      <c r="K84" s="409"/>
      <c r="L84" s="385"/>
      <c r="M84" s="385"/>
      <c r="N84" s="385"/>
      <c r="O84" s="9"/>
      <c r="P84" s="9"/>
      <c r="Q84" s="9"/>
      <c r="R84" s="281"/>
      <c r="S84" s="388"/>
      <c r="T84" s="385"/>
      <c r="U84" s="385"/>
      <c r="V84" s="385"/>
      <c r="W84" s="9"/>
      <c r="X84" s="9"/>
      <c r="Y84" s="9"/>
      <c r="Z84" s="281"/>
      <c r="AA84" s="388"/>
      <c r="AB84" s="385"/>
      <c r="AC84" s="385"/>
      <c r="AD84" s="385"/>
      <c r="AE84" s="9"/>
      <c r="AF84" s="9"/>
      <c r="AG84" s="9"/>
      <c r="AH84" s="281"/>
      <c r="AI84" s="388"/>
      <c r="AJ84" s="385"/>
      <c r="AK84" s="385"/>
      <c r="AL84" s="385"/>
      <c r="AM84" s="9"/>
      <c r="AN84" s="9"/>
      <c r="AO84" s="9"/>
      <c r="AP84" s="281"/>
      <c r="AQ84" s="388"/>
      <c r="AR84" s="385"/>
      <c r="AS84" s="385"/>
      <c r="AT84" s="385"/>
      <c r="AU84" s="9"/>
      <c r="AV84" s="9"/>
      <c r="AW84" s="9"/>
      <c r="AX84" s="281"/>
    </row>
    <row r="85" spans="2:50" x14ac:dyDescent="0.3">
      <c r="B85" s="383" t="s">
        <v>247</v>
      </c>
      <c r="C85" s="388"/>
      <c r="D85" s="385"/>
      <c r="E85" s="385"/>
      <c r="F85" s="385"/>
      <c r="G85" s="9">
        <f>'Carichi unitari'!$C$23</f>
        <v>16.799999999999997</v>
      </c>
      <c r="H85" s="9"/>
      <c r="I85" s="9">
        <f>G85*$E$25</f>
        <v>21.839999999999996</v>
      </c>
      <c r="J85" s="281">
        <f>G85</f>
        <v>16.799999999999997</v>
      </c>
      <c r="K85" s="409"/>
      <c r="L85" s="385"/>
      <c r="M85" s="385"/>
      <c r="N85" s="385"/>
      <c r="O85" s="9">
        <f>'Carichi unitari'!$C$24</f>
        <v>14.400000000000002</v>
      </c>
      <c r="P85" s="9"/>
      <c r="Q85" s="9">
        <f>O85*$E$25</f>
        <v>18.720000000000002</v>
      </c>
      <c r="R85" s="281">
        <f>O85</f>
        <v>14.400000000000002</v>
      </c>
      <c r="S85" s="388"/>
      <c r="T85" s="385"/>
      <c r="U85" s="385"/>
      <c r="V85" s="385"/>
      <c r="W85" s="9">
        <f>'Carichi unitari'!$C$25</f>
        <v>13.125</v>
      </c>
      <c r="X85" s="9"/>
      <c r="Y85" s="9">
        <f>W85*$E$25</f>
        <v>17.0625</v>
      </c>
      <c r="Z85" s="281">
        <f>W85</f>
        <v>13.125</v>
      </c>
      <c r="AA85" s="388"/>
      <c r="AB85" s="385"/>
      <c r="AC85" s="385"/>
      <c r="AD85" s="385"/>
      <c r="AE85" s="9">
        <f>'Carichi unitari'!$C$25</f>
        <v>13.125</v>
      </c>
      <c r="AF85" s="9"/>
      <c r="AG85" s="9">
        <f>AE85*$E$25</f>
        <v>17.0625</v>
      </c>
      <c r="AH85" s="281">
        <f>AE85</f>
        <v>13.125</v>
      </c>
      <c r="AI85" s="388"/>
      <c r="AJ85" s="385"/>
      <c r="AK85" s="385"/>
      <c r="AL85" s="385"/>
      <c r="AM85" s="9">
        <f>'Carichi unitari'!$C$26</f>
        <v>11.700000000000001</v>
      </c>
      <c r="AN85" s="9"/>
      <c r="AO85" s="9">
        <f>AM85*$E$25</f>
        <v>15.210000000000003</v>
      </c>
      <c r="AP85" s="281">
        <f>AM85</f>
        <v>11.700000000000001</v>
      </c>
      <c r="AQ85" s="388"/>
      <c r="AR85" s="385"/>
      <c r="AS85" s="385"/>
      <c r="AT85" s="385"/>
      <c r="AU85" s="9"/>
      <c r="AV85" s="9"/>
      <c r="AW85" s="9"/>
      <c r="AX85" s="281"/>
    </row>
    <row r="86" spans="2:50" ht="15" thickBot="1" x14ac:dyDescent="0.35">
      <c r="B86" s="384" t="s">
        <v>380</v>
      </c>
      <c r="C86" s="389"/>
      <c r="D86" s="390"/>
      <c r="E86" s="390"/>
      <c r="F86" s="390"/>
      <c r="G86" s="301"/>
      <c r="H86" s="301"/>
      <c r="I86" s="350">
        <f>SUM(I79:I85)</f>
        <v>226.374718224026</v>
      </c>
      <c r="J86" s="352">
        <f>SUM(J79:J85)</f>
        <v>153.64209094155842</v>
      </c>
      <c r="K86" s="410"/>
      <c r="L86" s="390"/>
      <c r="M86" s="390"/>
      <c r="N86" s="390"/>
      <c r="O86" s="301"/>
      <c r="P86" s="301"/>
      <c r="Q86" s="350">
        <f>SUM(Q79:Q85)</f>
        <v>312.05001707290444</v>
      </c>
      <c r="R86" s="352">
        <f>SUM(R79:R85)</f>
        <v>202.5430900560803</v>
      </c>
      <c r="S86" s="389"/>
      <c r="T86" s="390"/>
      <c r="U86" s="390"/>
      <c r="V86" s="390"/>
      <c r="W86" s="301"/>
      <c r="X86" s="301"/>
      <c r="Y86" s="350">
        <f>SUM(Y79:Y85)</f>
        <v>310.39251707290441</v>
      </c>
      <c r="Z86" s="352">
        <f>SUM(Z79:Z85)</f>
        <v>201.2680900560803</v>
      </c>
      <c r="AA86" s="389"/>
      <c r="AB86" s="390"/>
      <c r="AC86" s="390"/>
      <c r="AD86" s="390"/>
      <c r="AE86" s="301"/>
      <c r="AF86" s="301"/>
      <c r="AG86" s="350">
        <f>SUM(AG79:AG85)</f>
        <v>303.32376707290445</v>
      </c>
      <c r="AH86" s="352">
        <f>SUM(AH79:AH85)</f>
        <v>195.8305900560803</v>
      </c>
      <c r="AI86" s="389"/>
      <c r="AJ86" s="390"/>
      <c r="AK86" s="390"/>
      <c r="AL86" s="390"/>
      <c r="AM86" s="301"/>
      <c r="AN86" s="301"/>
      <c r="AO86" s="350">
        <f>SUM(AO79:AO85)</f>
        <v>301.47126707290442</v>
      </c>
      <c r="AP86" s="352">
        <f>SUM(AP79:AP85)</f>
        <v>194.40559005608029</v>
      </c>
      <c r="AQ86" s="389"/>
      <c r="AR86" s="390"/>
      <c r="AS86" s="390"/>
      <c r="AT86" s="390"/>
      <c r="AU86" s="301"/>
      <c r="AV86" s="301"/>
      <c r="AW86" s="350">
        <f>SUM(AW79:AW85)</f>
        <v>176.43749837662341</v>
      </c>
      <c r="AX86" s="352">
        <f>SUM(AX79:AX85)</f>
        <v>112.68115259740262</v>
      </c>
    </row>
    <row r="87" spans="2:50" ht="16.2" thickBot="1" x14ac:dyDescent="0.35">
      <c r="C87" s="602" t="s">
        <v>381</v>
      </c>
      <c r="D87" s="603"/>
      <c r="E87" s="603"/>
      <c r="F87" s="603"/>
      <c r="G87" s="603"/>
      <c r="H87" s="603"/>
      <c r="I87" s="603"/>
      <c r="J87" s="603"/>
      <c r="K87" s="602" t="s">
        <v>382</v>
      </c>
      <c r="L87" s="603"/>
      <c r="M87" s="603"/>
      <c r="N87" s="603"/>
      <c r="O87" s="603"/>
      <c r="P87" s="603"/>
      <c r="Q87" s="603"/>
      <c r="R87" s="603"/>
      <c r="S87" s="602" t="s">
        <v>383</v>
      </c>
      <c r="T87" s="603"/>
      <c r="U87" s="603"/>
      <c r="V87" s="603"/>
      <c r="W87" s="603"/>
      <c r="X87" s="603"/>
      <c r="Y87" s="603"/>
      <c r="Z87" s="603"/>
      <c r="AA87" s="602" t="s">
        <v>384</v>
      </c>
      <c r="AB87" s="603"/>
      <c r="AC87" s="603"/>
      <c r="AD87" s="603"/>
      <c r="AE87" s="603"/>
      <c r="AF87" s="603"/>
      <c r="AG87" s="603"/>
      <c r="AH87" s="603"/>
      <c r="AI87" s="602" t="s">
        <v>385</v>
      </c>
      <c r="AJ87" s="603"/>
      <c r="AK87" s="603"/>
      <c r="AL87" s="603"/>
      <c r="AM87" s="603"/>
      <c r="AN87" s="603"/>
      <c r="AO87" s="603"/>
      <c r="AP87" s="603"/>
      <c r="AQ87" s="602" t="s">
        <v>386</v>
      </c>
      <c r="AR87" s="603"/>
      <c r="AS87" s="603"/>
      <c r="AT87" s="603"/>
      <c r="AU87" s="603"/>
      <c r="AV87" s="603"/>
      <c r="AW87" s="603"/>
      <c r="AX87" s="603"/>
    </row>
    <row r="88" spans="2:50" ht="46.2" thickBot="1" x14ac:dyDescent="0.35">
      <c r="B88" s="379" t="s">
        <v>371</v>
      </c>
      <c r="C88" s="313" t="s">
        <v>241</v>
      </c>
      <c r="D88" s="314" t="s">
        <v>242</v>
      </c>
      <c r="E88" s="313" t="s">
        <v>241</v>
      </c>
      <c r="F88" s="314" t="s">
        <v>242</v>
      </c>
      <c r="G88" s="315" t="s">
        <v>8</v>
      </c>
      <c r="H88" s="315" t="s">
        <v>9</v>
      </c>
      <c r="I88" s="316" t="s">
        <v>253</v>
      </c>
      <c r="J88" s="317" t="s">
        <v>254</v>
      </c>
      <c r="K88" s="313" t="s">
        <v>241</v>
      </c>
      <c r="L88" s="314" t="s">
        <v>242</v>
      </c>
      <c r="M88" s="313" t="s">
        <v>241</v>
      </c>
      <c r="N88" s="314" t="s">
        <v>242</v>
      </c>
      <c r="O88" s="315" t="s">
        <v>8</v>
      </c>
      <c r="P88" s="315" t="s">
        <v>9</v>
      </c>
      <c r="Q88" s="316" t="s">
        <v>253</v>
      </c>
      <c r="R88" s="317" t="s">
        <v>254</v>
      </c>
      <c r="S88" s="313" t="s">
        <v>241</v>
      </c>
      <c r="T88" s="314" t="s">
        <v>242</v>
      </c>
      <c r="U88" s="313" t="s">
        <v>241</v>
      </c>
      <c r="V88" s="314" t="s">
        <v>242</v>
      </c>
      <c r="W88" s="315" t="s">
        <v>8</v>
      </c>
      <c r="X88" s="315" t="s">
        <v>9</v>
      </c>
      <c r="Y88" s="316" t="s">
        <v>253</v>
      </c>
      <c r="Z88" s="317" t="s">
        <v>254</v>
      </c>
      <c r="AA88" s="313" t="s">
        <v>241</v>
      </c>
      <c r="AB88" s="314" t="s">
        <v>242</v>
      </c>
      <c r="AC88" s="313" t="s">
        <v>241</v>
      </c>
      <c r="AD88" s="314" t="s">
        <v>242</v>
      </c>
      <c r="AE88" s="315" t="s">
        <v>8</v>
      </c>
      <c r="AF88" s="315" t="s">
        <v>9</v>
      </c>
      <c r="AG88" s="316" t="s">
        <v>253</v>
      </c>
      <c r="AH88" s="317" t="s">
        <v>254</v>
      </c>
      <c r="AI88" s="313" t="s">
        <v>241</v>
      </c>
      <c r="AJ88" s="314" t="s">
        <v>242</v>
      </c>
      <c r="AK88" s="313" t="s">
        <v>241</v>
      </c>
      <c r="AL88" s="314" t="s">
        <v>242</v>
      </c>
      <c r="AM88" s="315" t="s">
        <v>8</v>
      </c>
      <c r="AN88" s="315" t="s">
        <v>9</v>
      </c>
      <c r="AO88" s="316" t="s">
        <v>253</v>
      </c>
      <c r="AP88" s="317" t="s">
        <v>254</v>
      </c>
      <c r="AQ88" s="313" t="s">
        <v>241</v>
      </c>
      <c r="AR88" s="314" t="s">
        <v>242</v>
      </c>
      <c r="AS88" s="313" t="s">
        <v>241</v>
      </c>
      <c r="AT88" s="314" t="s">
        <v>242</v>
      </c>
      <c r="AU88" s="315" t="s">
        <v>8</v>
      </c>
      <c r="AV88" s="315" t="s">
        <v>9</v>
      </c>
      <c r="AW88" s="316" t="s">
        <v>253</v>
      </c>
      <c r="AX88" s="317" t="s">
        <v>254</v>
      </c>
    </row>
    <row r="89" spans="2:50" ht="15" thickBot="1" x14ac:dyDescent="0.35">
      <c r="B89" s="380" t="s">
        <v>42</v>
      </c>
      <c r="C89" s="386">
        <f>2</f>
        <v>2</v>
      </c>
      <c r="D89" s="387">
        <v>1.2</v>
      </c>
      <c r="E89" s="387">
        <v>2.5</v>
      </c>
      <c r="F89" s="166">
        <v>1</v>
      </c>
      <c r="G89" s="378">
        <f>('Carichi unitari'!$C$11+'Carichi unitari'!$C$10)*C89*D89*E89*F89</f>
        <v>33.011688311688317</v>
      </c>
      <c r="H89" s="319">
        <f>'Carichi unitari'!$D$10*C89*D89*E89*F89</f>
        <v>12</v>
      </c>
      <c r="I89" s="378">
        <f>G89*$E$25+H89*$F$25</f>
        <v>60.915194805194815</v>
      </c>
      <c r="J89" s="320">
        <f>G89+H89*$H$24</f>
        <v>36.611688311688319</v>
      </c>
      <c r="K89" s="386">
        <f>2</f>
        <v>2</v>
      </c>
      <c r="L89" s="387">
        <v>1.2</v>
      </c>
      <c r="M89" s="387">
        <v>2.5</v>
      </c>
      <c r="N89" s="166">
        <v>1</v>
      </c>
      <c r="O89" s="378">
        <f>('Carichi unitari'!$C$11+'Carichi unitari'!$C$10)*K89*L89*M89*N89</f>
        <v>33.011688311688317</v>
      </c>
      <c r="P89" s="319">
        <f>'Carichi unitari'!$D$10*K89*L89*M89*N89</f>
        <v>12</v>
      </c>
      <c r="Q89" s="378">
        <f>O89*$E$25+P89*$F$25</f>
        <v>60.915194805194815</v>
      </c>
      <c r="R89" s="320">
        <f>O89+P89*$H$24</f>
        <v>36.611688311688319</v>
      </c>
      <c r="S89" s="386">
        <f>2</f>
        <v>2</v>
      </c>
      <c r="T89" s="387">
        <v>1.2</v>
      </c>
      <c r="U89" s="387">
        <v>2.5</v>
      </c>
      <c r="V89" s="166">
        <v>1</v>
      </c>
      <c r="W89" s="378">
        <f>('Carichi unitari'!$C$11+'Carichi unitari'!$C$10)*S89*T89*U89*V89</f>
        <v>33.011688311688317</v>
      </c>
      <c r="X89" s="319">
        <f>'Carichi unitari'!$D$10*S89*T89*U89*V89</f>
        <v>12</v>
      </c>
      <c r="Y89" s="378">
        <f>W89*$E$25+X89*$F$25</f>
        <v>60.915194805194815</v>
      </c>
      <c r="Z89" s="320">
        <f>W89+X89*$H$24</f>
        <v>36.611688311688319</v>
      </c>
      <c r="AA89" s="386">
        <f>2</f>
        <v>2</v>
      </c>
      <c r="AB89" s="387">
        <v>1.2</v>
      </c>
      <c r="AC89" s="387">
        <v>2.5</v>
      </c>
      <c r="AD89" s="166">
        <v>1</v>
      </c>
      <c r="AE89" s="378">
        <f>('Carichi unitari'!$C$11+'Carichi unitari'!$C$10)*AA89*AB89*AC89*AD89</f>
        <v>33.011688311688317</v>
      </c>
      <c r="AF89" s="319">
        <f>'Carichi unitari'!$D$10*AA89*AB89*AC89*AD89</f>
        <v>12</v>
      </c>
      <c r="AG89" s="378">
        <f>AE89*$E$25+AF89*$F$25</f>
        <v>60.915194805194815</v>
      </c>
      <c r="AH89" s="320">
        <f>AE89+AF89*$H$24</f>
        <v>36.611688311688319</v>
      </c>
      <c r="AI89" s="386">
        <f>2</f>
        <v>2</v>
      </c>
      <c r="AJ89" s="387">
        <v>1.2</v>
      </c>
      <c r="AK89" s="387">
        <v>2.5</v>
      </c>
      <c r="AL89" s="166">
        <v>1</v>
      </c>
      <c r="AM89" s="378">
        <f>('Carichi unitari'!$C$11+'Carichi unitari'!$C$10)*AI89*AJ89*AK89*AL89</f>
        <v>33.011688311688317</v>
      </c>
      <c r="AN89" s="319">
        <f>'Carichi unitari'!$D$10*AI89*AJ89*AK89*AL89</f>
        <v>12</v>
      </c>
      <c r="AO89" s="378">
        <f>AM89*$E$25+AN89*$F$25</f>
        <v>60.915194805194815</v>
      </c>
      <c r="AP89" s="320">
        <f>AM89+AN89*$H$24</f>
        <v>36.611688311688319</v>
      </c>
      <c r="AQ89" s="386">
        <f>2</f>
        <v>2</v>
      </c>
      <c r="AR89" s="387">
        <v>1.2</v>
      </c>
      <c r="AS89" s="387">
        <v>2.5</v>
      </c>
      <c r="AT89" s="166">
        <v>1</v>
      </c>
      <c r="AU89" s="378">
        <f>('Carichi unitari'!$C$11+'Carichi unitari'!$C$10)*AQ89*AR89*AS89*AT89</f>
        <v>33.011688311688317</v>
      </c>
      <c r="AV89" s="319">
        <f>'Carichi unitari'!$D$10*AQ89*AR89*AS89*AT89</f>
        <v>12</v>
      </c>
      <c r="AW89" s="378">
        <f>AU89*$E$25+AV89*$F$25</f>
        <v>60.915194805194815</v>
      </c>
      <c r="AX89" s="320">
        <f>AU89+AV89*$H$24</f>
        <v>36.611688311688319</v>
      </c>
    </row>
    <row r="90" spans="2:50" x14ac:dyDescent="0.3">
      <c r="B90" s="380" t="s">
        <v>42</v>
      </c>
      <c r="C90" s="37">
        <f>2.5</f>
        <v>2.5</v>
      </c>
      <c r="D90" s="400">
        <v>1</v>
      </c>
      <c r="E90" s="400">
        <v>2.5</v>
      </c>
      <c r="F90" s="50">
        <v>1</v>
      </c>
      <c r="G90" s="329">
        <f>('Carichi unitari'!$C$11+'Carichi unitari'!$C$10)*C90*D90*E90*F90</f>
        <v>34.387175324675326</v>
      </c>
      <c r="H90" s="9">
        <f>'Carichi unitari'!$D$10*C90*D90*E90*F90</f>
        <v>12.5</v>
      </c>
      <c r="I90" s="329">
        <f>G90*$E$25+H90*$F$25</f>
        <v>63.453327922077925</v>
      </c>
      <c r="J90" s="281">
        <f>G90+H90*$H$24</f>
        <v>38.137175324675326</v>
      </c>
      <c r="K90" s="37">
        <f>2.5</f>
        <v>2.5</v>
      </c>
      <c r="L90" s="400">
        <v>1</v>
      </c>
      <c r="M90" s="400">
        <v>2.5</v>
      </c>
      <c r="N90" s="50">
        <v>1.1000000000000001</v>
      </c>
      <c r="O90" s="329">
        <f>('Carichi unitari'!$C$11+'Carichi unitari'!$C$10)*K90*L90*M90*N90</f>
        <v>37.825892857142861</v>
      </c>
      <c r="P90" s="9">
        <f>'Carichi unitari'!$D$10*K90*L90*M90*N90</f>
        <v>13.750000000000002</v>
      </c>
      <c r="Q90" s="329">
        <f>O90*$E$25+P90*$F$25</f>
        <v>69.798660714285731</v>
      </c>
      <c r="R90" s="281">
        <f>O90+P90*$H$24</f>
        <v>41.950892857142861</v>
      </c>
      <c r="S90" s="37">
        <f>2.5</f>
        <v>2.5</v>
      </c>
      <c r="T90" s="400">
        <v>1</v>
      </c>
      <c r="U90" s="400">
        <v>2.5</v>
      </c>
      <c r="V90" s="50">
        <v>1.1000000000000001</v>
      </c>
      <c r="W90" s="329">
        <f>('Carichi unitari'!$C$11+'Carichi unitari'!$C$10)*S90*T90*U90*V90</f>
        <v>37.825892857142861</v>
      </c>
      <c r="X90" s="9">
        <f>'Carichi unitari'!$D$10*S90*T90*U90*V90</f>
        <v>13.750000000000002</v>
      </c>
      <c r="Y90" s="329">
        <f>W90*$E$25+X90*$F$25</f>
        <v>69.798660714285731</v>
      </c>
      <c r="Z90" s="281">
        <f>W90+X90*$H$24</f>
        <v>41.950892857142861</v>
      </c>
      <c r="AA90" s="37">
        <f>2.5</f>
        <v>2.5</v>
      </c>
      <c r="AB90" s="400">
        <v>1</v>
      </c>
      <c r="AC90" s="400">
        <v>2.5</v>
      </c>
      <c r="AD90" s="50">
        <v>1.1000000000000001</v>
      </c>
      <c r="AE90" s="329">
        <f>('Carichi unitari'!$C$11+'Carichi unitari'!$C$10)*AA90*AB90*AC90*AD90</f>
        <v>37.825892857142861</v>
      </c>
      <c r="AF90" s="9">
        <f>'Carichi unitari'!$D$10*AA90*AB90*AC90*AD90</f>
        <v>13.750000000000002</v>
      </c>
      <c r="AG90" s="329">
        <f>AE90*$E$25+AF90*$F$25</f>
        <v>69.798660714285731</v>
      </c>
      <c r="AH90" s="281">
        <f>AE90+AF90*$H$24</f>
        <v>41.950892857142861</v>
      </c>
      <c r="AI90" s="37">
        <f>2.5</f>
        <v>2.5</v>
      </c>
      <c r="AJ90" s="400">
        <v>1</v>
      </c>
      <c r="AK90" s="400">
        <v>2.5</v>
      </c>
      <c r="AL90" s="50">
        <v>1.1000000000000001</v>
      </c>
      <c r="AM90" s="329">
        <f>('Carichi unitari'!$C$11+'Carichi unitari'!$C$10)*AI90*AJ90*AK90*AL90</f>
        <v>37.825892857142861</v>
      </c>
      <c r="AN90" s="9">
        <f>'Carichi unitari'!$D$10*AI90*AJ90*AK90*AL90</f>
        <v>13.750000000000002</v>
      </c>
      <c r="AO90" s="329">
        <f>AM90*$E$25+AN90*$F$25</f>
        <v>69.798660714285731</v>
      </c>
      <c r="AP90" s="281">
        <f>AM90+AN90*$H$24</f>
        <v>41.950892857142861</v>
      </c>
      <c r="AQ90" s="37">
        <f>2.5</f>
        <v>2.5</v>
      </c>
      <c r="AR90" s="400">
        <v>1</v>
      </c>
      <c r="AS90" s="400">
        <v>2.5</v>
      </c>
      <c r="AT90" s="50">
        <v>1.1000000000000001</v>
      </c>
      <c r="AU90" s="329">
        <f>('Carichi unitari'!$C$11+'Carichi unitari'!$C$10)*AQ90*AR90*AS90*AT90</f>
        <v>37.825892857142861</v>
      </c>
      <c r="AV90" s="9">
        <f>'Carichi unitari'!$D$10*AQ90*AR90*AS90*AT90</f>
        <v>13.750000000000002</v>
      </c>
      <c r="AW90" s="329">
        <f>AU90*$E$25+AV90*$F$25</f>
        <v>69.798660714285731</v>
      </c>
      <c r="AX90" s="281">
        <f>AU90+AV90*$H$24</f>
        <v>41.950892857142861</v>
      </c>
    </row>
    <row r="91" spans="2:50" x14ac:dyDescent="0.3">
      <c r="B91" s="381" t="s">
        <v>45</v>
      </c>
      <c r="C91" s="37"/>
      <c r="D91" s="400"/>
      <c r="E91" s="400"/>
      <c r="F91" s="400"/>
      <c r="G91" s="9"/>
      <c r="H91" s="9"/>
      <c r="I91" s="9"/>
      <c r="J91" s="281"/>
      <c r="K91" s="408">
        <v>1.5</v>
      </c>
      <c r="L91" s="400"/>
      <c r="M91" s="400">
        <v>2.5</v>
      </c>
      <c r="N91" s="400"/>
      <c r="O91" s="9">
        <f>'Carichi unitari'!$C$14*K91*M91</f>
        <v>14.739669421487605</v>
      </c>
      <c r="P91" s="9">
        <f>K91*M91*'Carichi unitari'!$D$14</f>
        <v>15</v>
      </c>
      <c r="Q91" s="9">
        <f>O91*$E$25+P91*$F$25</f>
        <v>41.661570247933888</v>
      </c>
      <c r="R91" s="281">
        <f>O91+P91*$I$24</f>
        <v>23.739669421487605</v>
      </c>
      <c r="S91" s="408">
        <v>1.5</v>
      </c>
      <c r="T91" s="400"/>
      <c r="U91" s="400">
        <v>2.5</v>
      </c>
      <c r="V91" s="400"/>
      <c r="W91" s="9">
        <f>'Carichi unitari'!$C$14*S91*U91</f>
        <v>14.739669421487605</v>
      </c>
      <c r="X91" s="9">
        <f>S91*U91*'Carichi unitari'!$D$14</f>
        <v>15</v>
      </c>
      <c r="Y91" s="9">
        <f>W91*$E$25+X91*$F$25</f>
        <v>41.661570247933888</v>
      </c>
      <c r="Z91" s="281">
        <f>W91+X91*$I$24</f>
        <v>23.739669421487605</v>
      </c>
      <c r="AA91" s="408">
        <v>1.5</v>
      </c>
      <c r="AB91" s="400"/>
      <c r="AC91" s="400">
        <v>2.5</v>
      </c>
      <c r="AD91" s="400"/>
      <c r="AE91" s="9">
        <f>'Carichi unitari'!$C$14*AA91*AC91</f>
        <v>14.739669421487605</v>
      </c>
      <c r="AF91" s="9">
        <f>AA91*AC91*'Carichi unitari'!$D$14</f>
        <v>15</v>
      </c>
      <c r="AG91" s="9">
        <f>AE91*$E$25+AF91*$F$25</f>
        <v>41.661570247933888</v>
      </c>
      <c r="AH91" s="281">
        <f>AE91+AF91*$I$24</f>
        <v>23.739669421487605</v>
      </c>
      <c r="AI91" s="408">
        <v>1.5</v>
      </c>
      <c r="AJ91" s="400"/>
      <c r="AK91" s="400">
        <v>2.5</v>
      </c>
      <c r="AL91" s="400"/>
      <c r="AM91" s="9">
        <f>'Carichi unitari'!$C$14*AI91*AK91</f>
        <v>14.739669421487605</v>
      </c>
      <c r="AN91" s="9">
        <f>AI91*AK91*'Carichi unitari'!$D$14</f>
        <v>15</v>
      </c>
      <c r="AO91" s="9">
        <f>AM91*$E$25+AN91*$F$25</f>
        <v>41.661570247933888</v>
      </c>
      <c r="AP91" s="281">
        <f>AM91+AN91*$I$24</f>
        <v>23.739669421487605</v>
      </c>
      <c r="AQ91" s="37">
        <v>0.4</v>
      </c>
      <c r="AR91" s="400"/>
      <c r="AS91" s="400">
        <v>2.5</v>
      </c>
      <c r="AT91" s="400"/>
      <c r="AU91" s="9">
        <f>'Carichi unitari'!$C$15*AQ91*AS91</f>
        <v>3.5000000000000004</v>
      </c>
      <c r="AV91" s="9">
        <f>AQ91*AS91*'Carichi unitari'!$D$15</f>
        <v>0.5</v>
      </c>
      <c r="AW91" s="9">
        <f>AU91*$E$25+AV91*$F$25</f>
        <v>5.3000000000000007</v>
      </c>
      <c r="AX91" s="281">
        <f>AU91+AV91*$I$24</f>
        <v>3.8000000000000003</v>
      </c>
    </row>
    <row r="92" spans="2:50" x14ac:dyDescent="0.3">
      <c r="B92" s="382" t="s">
        <v>357</v>
      </c>
      <c r="C92" s="388">
        <v>4.5</v>
      </c>
      <c r="D92" s="385"/>
      <c r="E92" s="385"/>
      <c r="F92" s="385"/>
      <c r="G92" s="9">
        <f>C92*'Carichi unitari'!$C$22</f>
        <v>26.902061718750005</v>
      </c>
      <c r="H92" s="9"/>
      <c r="I92" s="9">
        <f>G92*$E$25</f>
        <v>34.972680234375005</v>
      </c>
      <c r="J92" s="281">
        <f>G92</f>
        <v>26.902061718750005</v>
      </c>
      <c r="K92" s="388">
        <v>4.5</v>
      </c>
      <c r="L92" s="385"/>
      <c r="M92" s="385"/>
      <c r="N92" s="385"/>
      <c r="O92" s="9">
        <f>K92*'Carichi unitari'!$C$22</f>
        <v>26.902061718750005</v>
      </c>
      <c r="P92" s="9"/>
      <c r="Q92" s="9">
        <f>O92*$E$25</f>
        <v>34.972680234375005</v>
      </c>
      <c r="R92" s="281">
        <f>O92</f>
        <v>26.902061718750005</v>
      </c>
      <c r="S92" s="388">
        <v>4.5</v>
      </c>
      <c r="T92" s="385"/>
      <c r="U92" s="385"/>
      <c r="V92" s="385"/>
      <c r="W92" s="9">
        <f>S92*'Carichi unitari'!$C$22</f>
        <v>26.902061718750005</v>
      </c>
      <c r="X92" s="9"/>
      <c r="Y92" s="9">
        <f>W92*$E$25</f>
        <v>34.972680234375005</v>
      </c>
      <c r="Z92" s="281">
        <f>W92</f>
        <v>26.902061718750005</v>
      </c>
      <c r="AA92" s="388">
        <v>4.5</v>
      </c>
      <c r="AB92" s="385"/>
      <c r="AC92" s="385"/>
      <c r="AD92" s="385"/>
      <c r="AE92" s="9">
        <f>AA92*'Carichi unitari'!$C$22</f>
        <v>26.902061718750005</v>
      </c>
      <c r="AF92" s="9"/>
      <c r="AG92" s="9">
        <f>AE92*$E$25</f>
        <v>34.972680234375005</v>
      </c>
      <c r="AH92" s="281">
        <f>AE92</f>
        <v>26.902061718750005</v>
      </c>
      <c r="AI92" s="388">
        <v>4.5</v>
      </c>
      <c r="AJ92" s="385"/>
      <c r="AK92" s="385"/>
      <c r="AL92" s="385"/>
      <c r="AM92" s="9">
        <f>AI92*'Carichi unitari'!$C$22</f>
        <v>26.902061718750005</v>
      </c>
      <c r="AN92" s="9"/>
      <c r="AO92" s="9">
        <f>AM92*$E$25</f>
        <v>34.972680234375005</v>
      </c>
      <c r="AP92" s="281">
        <f>AM92</f>
        <v>26.902061718750005</v>
      </c>
      <c r="AQ92" s="388"/>
      <c r="AR92" s="385"/>
      <c r="AS92" s="385"/>
      <c r="AT92" s="385"/>
      <c r="AU92" s="9"/>
      <c r="AV92" s="9"/>
      <c r="AW92" s="9"/>
      <c r="AX92" s="281"/>
    </row>
    <row r="93" spans="2:50" x14ac:dyDescent="0.3">
      <c r="B93" s="383" t="s">
        <v>358</v>
      </c>
      <c r="C93" s="419">
        <v>2</v>
      </c>
      <c r="D93" s="420">
        <v>1</v>
      </c>
      <c r="E93" s="420">
        <v>2.5</v>
      </c>
      <c r="F93" s="420">
        <v>1</v>
      </c>
      <c r="G93" s="16">
        <f>(C93*D93+E93*F93)*'Carichi unitari'!$C$17</f>
        <v>22.450616883116886</v>
      </c>
      <c r="H93" s="16"/>
      <c r="I93" s="16">
        <f>G93*$E$25</f>
        <v>29.185801948051953</v>
      </c>
      <c r="J93" s="356">
        <f>G93</f>
        <v>22.450616883116886</v>
      </c>
      <c r="K93" s="419">
        <v>2</v>
      </c>
      <c r="L93" s="420">
        <v>1</v>
      </c>
      <c r="M93" s="420">
        <v>2.5</v>
      </c>
      <c r="N93" s="420">
        <v>1</v>
      </c>
      <c r="O93" s="9">
        <f>(K93*L93+M93*N93)*'Carichi unitari'!$C$17</f>
        <v>22.450616883116886</v>
      </c>
      <c r="P93" s="9"/>
      <c r="Q93" s="9">
        <f>O93*$E$25</f>
        <v>29.185801948051953</v>
      </c>
      <c r="R93" s="281">
        <f>O93</f>
        <v>22.450616883116886</v>
      </c>
      <c r="S93" s="419">
        <v>2</v>
      </c>
      <c r="T93" s="420">
        <v>1</v>
      </c>
      <c r="U93" s="420">
        <v>2.5</v>
      </c>
      <c r="V93" s="420">
        <v>1</v>
      </c>
      <c r="W93" s="9">
        <f>(S93*T93+U93*V93)*'Carichi unitari'!$C$17</f>
        <v>22.450616883116886</v>
      </c>
      <c r="X93" s="9"/>
      <c r="Y93" s="9">
        <f>W93*$E$25</f>
        <v>29.185801948051953</v>
      </c>
      <c r="Z93" s="281">
        <f>W93</f>
        <v>22.450616883116886</v>
      </c>
      <c r="AA93" s="419">
        <v>2</v>
      </c>
      <c r="AB93" s="420">
        <v>1</v>
      </c>
      <c r="AC93" s="420">
        <v>2.5</v>
      </c>
      <c r="AD93" s="420">
        <v>1</v>
      </c>
      <c r="AE93" s="9">
        <f>(AA93*AB93+AC93*AD93)*'Carichi unitari'!$C$18</f>
        <v>19.075616883116879</v>
      </c>
      <c r="AF93" s="9"/>
      <c r="AG93" s="9">
        <f>AE93*$E$25</f>
        <v>24.798301948051943</v>
      </c>
      <c r="AH93" s="281">
        <f>AE93</f>
        <v>19.075616883116879</v>
      </c>
      <c r="AI93" s="419">
        <v>2</v>
      </c>
      <c r="AJ93" s="420">
        <v>1</v>
      </c>
      <c r="AK93" s="420">
        <v>2.5</v>
      </c>
      <c r="AL93" s="420">
        <v>1</v>
      </c>
      <c r="AM93" s="9">
        <f>(AI93*AJ93+AK93*AL93)*'Carichi unitari'!$C$18</f>
        <v>19.075616883116879</v>
      </c>
      <c r="AN93" s="9"/>
      <c r="AO93" s="9">
        <f>AM93*$E$25</f>
        <v>24.798301948051943</v>
      </c>
      <c r="AP93" s="281">
        <f>AM93</f>
        <v>19.075616883116879</v>
      </c>
      <c r="AQ93" s="419">
        <v>2</v>
      </c>
      <c r="AR93" s="420">
        <v>1</v>
      </c>
      <c r="AS93" s="420">
        <v>2.5</v>
      </c>
      <c r="AT93" s="420">
        <v>1</v>
      </c>
      <c r="AU93" s="9">
        <f>(AQ93*AR93+AS93*AT93)*'Carichi unitari'!$C$19</f>
        <v>15.700616883116885</v>
      </c>
      <c r="AV93" s="9"/>
      <c r="AW93" s="9">
        <f>AU93*$E$25</f>
        <v>20.410801948051951</v>
      </c>
      <c r="AX93" s="281">
        <f>AU93</f>
        <v>15.700616883116885</v>
      </c>
    </row>
    <row r="94" spans="2:50" x14ac:dyDescent="0.3">
      <c r="B94" s="383" t="s">
        <v>358</v>
      </c>
      <c r="C94" s="419">
        <v>2.5</v>
      </c>
      <c r="D94" s="420">
        <v>1</v>
      </c>
      <c r="E94" s="420"/>
      <c r="F94" s="420"/>
      <c r="G94" s="16">
        <f>(C94*D94+E94*F94)*'Carichi unitari'!$C$17</f>
        <v>12.472564935064936</v>
      </c>
      <c r="H94" s="16"/>
      <c r="I94" s="16">
        <f>G94*$E$25</f>
        <v>16.214334415584418</v>
      </c>
      <c r="J94" s="356">
        <f>G94</f>
        <v>12.472564935064936</v>
      </c>
      <c r="K94" s="419">
        <v>2.5</v>
      </c>
      <c r="L94" s="420">
        <v>1.1000000000000001</v>
      </c>
      <c r="M94" s="420"/>
      <c r="N94" s="420"/>
      <c r="O94" s="16">
        <f>(K94*L94+M94*N94)*'Carichi unitari'!$C$17</f>
        <v>13.719821428571429</v>
      </c>
      <c r="P94" s="9"/>
      <c r="Q94" s="9">
        <f>O94*$E$25</f>
        <v>17.835767857142859</v>
      </c>
      <c r="R94" s="281">
        <f>O94</f>
        <v>13.719821428571429</v>
      </c>
      <c r="S94" s="419">
        <v>2.5</v>
      </c>
      <c r="T94" s="420">
        <v>1.1000000000000001</v>
      </c>
      <c r="U94" s="420"/>
      <c r="V94" s="420"/>
      <c r="W94" s="9">
        <f>(S94*T94+U94*V94)*'Carichi unitari'!$C$17</f>
        <v>13.719821428571429</v>
      </c>
      <c r="X94" s="9"/>
      <c r="Y94" s="9">
        <f>W94*$E$25</f>
        <v>17.835767857142859</v>
      </c>
      <c r="Z94" s="281">
        <f>W94</f>
        <v>13.719821428571429</v>
      </c>
      <c r="AA94" s="419">
        <v>2.5</v>
      </c>
      <c r="AB94" s="420">
        <v>1.1000000000000001</v>
      </c>
      <c r="AC94" s="420"/>
      <c r="AD94" s="420"/>
      <c r="AE94" s="9">
        <f>(AA94*AB94+AC94*AD94)*'Carichi unitari'!$C$18</f>
        <v>11.657321428571427</v>
      </c>
      <c r="AF94" s="9"/>
      <c r="AG94" s="9">
        <f>AE94*$E$25</f>
        <v>15.154517857142855</v>
      </c>
      <c r="AH94" s="281">
        <f>AE94</f>
        <v>11.657321428571427</v>
      </c>
      <c r="AI94" s="419">
        <v>2.5</v>
      </c>
      <c r="AJ94" s="420">
        <v>1.1000000000000001</v>
      </c>
      <c r="AK94" s="420"/>
      <c r="AL94" s="420"/>
      <c r="AM94" s="9">
        <f>(AI94*AJ94+AK94*AL94)*'Carichi unitari'!$C$18</f>
        <v>11.657321428571427</v>
      </c>
      <c r="AN94" s="9"/>
      <c r="AO94" s="9">
        <f>AM94*$E$25</f>
        <v>15.154517857142855</v>
      </c>
      <c r="AP94" s="281">
        <f>AM94</f>
        <v>11.657321428571427</v>
      </c>
      <c r="AQ94" s="419">
        <v>2.5</v>
      </c>
      <c r="AR94" s="420">
        <v>1.1000000000000001</v>
      </c>
      <c r="AS94" s="420"/>
      <c r="AT94" s="420"/>
      <c r="AU94" s="9">
        <f>(AQ94*AR94+AS94*AT94)*'Carichi unitari'!$C$19</f>
        <v>9.5948214285714286</v>
      </c>
      <c r="AV94" s="9"/>
      <c r="AW94" s="9">
        <f>AU94*$E$25</f>
        <v>12.473267857142858</v>
      </c>
      <c r="AX94" s="281">
        <f>AU94</f>
        <v>9.5948214285714286</v>
      </c>
    </row>
    <row r="95" spans="2:50" x14ac:dyDescent="0.3">
      <c r="B95" s="383" t="s">
        <v>247</v>
      </c>
      <c r="C95" s="388"/>
      <c r="D95" s="385"/>
      <c r="E95" s="385"/>
      <c r="F95" s="385"/>
      <c r="G95" s="9">
        <f>'Carichi unitari'!C23</f>
        <v>16.799999999999997</v>
      </c>
      <c r="H95" s="9"/>
      <c r="I95" s="9">
        <f>G95*$E$25</f>
        <v>21.839999999999996</v>
      </c>
      <c r="J95" s="281">
        <f>G95</f>
        <v>16.799999999999997</v>
      </c>
      <c r="K95" s="409"/>
      <c r="L95" s="385"/>
      <c r="M95" s="385"/>
      <c r="N95" s="385"/>
      <c r="O95" s="9">
        <f>'Carichi unitari'!$C$24</f>
        <v>14.400000000000002</v>
      </c>
      <c r="P95" s="9"/>
      <c r="Q95" s="9">
        <f>O95*$E$25</f>
        <v>18.720000000000002</v>
      </c>
      <c r="R95" s="281">
        <f>O95</f>
        <v>14.400000000000002</v>
      </c>
      <c r="S95" s="388"/>
      <c r="T95" s="385"/>
      <c r="U95" s="385"/>
      <c r="V95" s="385"/>
      <c r="W95" s="9">
        <f>'Carichi unitari'!$C$25</f>
        <v>13.125</v>
      </c>
      <c r="X95" s="9"/>
      <c r="Y95" s="9">
        <f>W95*$E$25</f>
        <v>17.0625</v>
      </c>
      <c r="Z95" s="281">
        <f>W95</f>
        <v>13.125</v>
      </c>
      <c r="AA95" s="388"/>
      <c r="AB95" s="385"/>
      <c r="AC95" s="385"/>
      <c r="AD95" s="385"/>
      <c r="AE95" s="9">
        <f>'Carichi unitari'!$C$25</f>
        <v>13.125</v>
      </c>
      <c r="AF95" s="9"/>
      <c r="AG95" s="9">
        <f>AE95*$E$25</f>
        <v>17.0625</v>
      </c>
      <c r="AH95" s="281">
        <f>AE95</f>
        <v>13.125</v>
      </c>
      <c r="AI95" s="388"/>
      <c r="AJ95" s="385"/>
      <c r="AK95" s="385"/>
      <c r="AL95" s="385"/>
      <c r="AM95" s="9">
        <f>'Carichi unitari'!$C$26</f>
        <v>11.700000000000001</v>
      </c>
      <c r="AN95" s="9"/>
      <c r="AO95" s="9">
        <f>AM95*$E$25</f>
        <v>15.210000000000003</v>
      </c>
      <c r="AP95" s="281">
        <f>AM95</f>
        <v>11.700000000000001</v>
      </c>
      <c r="AQ95" s="388"/>
      <c r="AR95" s="385"/>
      <c r="AS95" s="385"/>
      <c r="AT95" s="385"/>
      <c r="AU95" s="9"/>
      <c r="AV95" s="9"/>
      <c r="AW95" s="9"/>
      <c r="AX95" s="281"/>
    </row>
    <row r="96" spans="2:50" ht="15" thickBot="1" x14ac:dyDescent="0.35">
      <c r="B96" s="384" t="s">
        <v>380</v>
      </c>
      <c r="C96" s="389"/>
      <c r="D96" s="390"/>
      <c r="E96" s="390"/>
      <c r="F96" s="390"/>
      <c r="G96" s="301"/>
      <c r="H96" s="301"/>
      <c r="I96" s="350">
        <f>SUM(I89:I95)</f>
        <v>226.58133932528412</v>
      </c>
      <c r="J96" s="352">
        <f>SUM(J89:J95)</f>
        <v>153.37410717329544</v>
      </c>
      <c r="K96" s="410"/>
      <c r="L96" s="390"/>
      <c r="M96" s="390"/>
      <c r="N96" s="390"/>
      <c r="O96" s="301"/>
      <c r="P96" s="301"/>
      <c r="Q96" s="350">
        <f>SUM(Q89:Q95)</f>
        <v>273.0896758069843</v>
      </c>
      <c r="R96" s="352">
        <f>SUM(R89:R95)</f>
        <v>179.77475062075709</v>
      </c>
      <c r="S96" s="389"/>
      <c r="T96" s="390"/>
      <c r="U96" s="390"/>
      <c r="V96" s="390"/>
      <c r="W96" s="301"/>
      <c r="X96" s="301"/>
      <c r="Y96" s="350">
        <f>SUM(Y89:Y95)</f>
        <v>271.43217580698428</v>
      </c>
      <c r="Z96" s="352">
        <f>SUM(Z89:Z95)</f>
        <v>178.49975062075708</v>
      </c>
      <c r="AA96" s="389"/>
      <c r="AB96" s="390"/>
      <c r="AC96" s="390"/>
      <c r="AD96" s="390"/>
      <c r="AE96" s="301"/>
      <c r="AF96" s="301"/>
      <c r="AG96" s="350">
        <f>SUM(AG89:AG95)</f>
        <v>264.36342580698425</v>
      </c>
      <c r="AH96" s="352">
        <f>SUM(AH89:AH95)</f>
        <v>173.06225062075708</v>
      </c>
      <c r="AI96" s="389"/>
      <c r="AJ96" s="390"/>
      <c r="AK96" s="390"/>
      <c r="AL96" s="390"/>
      <c r="AM96" s="301"/>
      <c r="AN96" s="301"/>
      <c r="AO96" s="350">
        <f>SUM(AO89:AO95)</f>
        <v>262.51092580698423</v>
      </c>
      <c r="AP96" s="352">
        <f>SUM(AP89:AP95)</f>
        <v>171.63725062075707</v>
      </c>
      <c r="AQ96" s="389"/>
      <c r="AR96" s="390"/>
      <c r="AS96" s="390"/>
      <c r="AT96" s="390"/>
      <c r="AU96" s="301"/>
      <c r="AV96" s="301"/>
      <c r="AW96" s="350">
        <f>SUM(AW89:AW95)</f>
        <v>168.89792532467538</v>
      </c>
      <c r="AX96" s="352">
        <f>SUM(AX89:AX95)</f>
        <v>107.65801948051947</v>
      </c>
    </row>
    <row r="97" spans="2:50" ht="16.2" thickBot="1" x14ac:dyDescent="0.35">
      <c r="C97" s="602" t="s">
        <v>381</v>
      </c>
      <c r="D97" s="603"/>
      <c r="E97" s="603"/>
      <c r="F97" s="603"/>
      <c r="G97" s="603"/>
      <c r="H97" s="603"/>
      <c r="I97" s="603"/>
      <c r="J97" s="603"/>
      <c r="K97" s="602" t="s">
        <v>382</v>
      </c>
      <c r="L97" s="603"/>
      <c r="M97" s="603"/>
      <c r="N97" s="603"/>
      <c r="O97" s="603"/>
      <c r="P97" s="603"/>
      <c r="Q97" s="603"/>
      <c r="R97" s="603"/>
      <c r="S97" s="602" t="s">
        <v>383</v>
      </c>
      <c r="T97" s="603"/>
      <c r="U97" s="603"/>
      <c r="V97" s="603"/>
      <c r="W97" s="603"/>
      <c r="X97" s="603"/>
      <c r="Y97" s="603"/>
      <c r="Z97" s="603"/>
      <c r="AA97" s="602" t="s">
        <v>384</v>
      </c>
      <c r="AB97" s="603"/>
      <c r="AC97" s="603"/>
      <c r="AD97" s="603"/>
      <c r="AE97" s="603"/>
      <c r="AF97" s="603"/>
      <c r="AG97" s="603"/>
      <c r="AH97" s="603"/>
      <c r="AI97" s="602" t="s">
        <v>385</v>
      </c>
      <c r="AJ97" s="603"/>
      <c r="AK97" s="603"/>
      <c r="AL97" s="603"/>
      <c r="AM97" s="603"/>
      <c r="AN97" s="603"/>
      <c r="AO97" s="603"/>
      <c r="AP97" s="603"/>
      <c r="AQ97" s="602" t="s">
        <v>386</v>
      </c>
      <c r="AR97" s="603"/>
      <c r="AS97" s="603"/>
      <c r="AT97" s="603"/>
      <c r="AU97" s="603"/>
      <c r="AV97" s="603"/>
      <c r="AW97" s="603"/>
      <c r="AX97" s="603"/>
    </row>
    <row r="98" spans="2:50" ht="46.2" thickBot="1" x14ac:dyDescent="0.35">
      <c r="B98" s="379" t="s">
        <v>372</v>
      </c>
      <c r="C98" s="313" t="s">
        <v>241</v>
      </c>
      <c r="D98" s="314" t="s">
        <v>242</v>
      </c>
      <c r="E98" s="313" t="s">
        <v>241</v>
      </c>
      <c r="F98" s="314" t="s">
        <v>242</v>
      </c>
      <c r="G98" s="315" t="s">
        <v>8</v>
      </c>
      <c r="H98" s="315" t="s">
        <v>9</v>
      </c>
      <c r="I98" s="316" t="s">
        <v>253</v>
      </c>
      <c r="J98" s="317" t="s">
        <v>254</v>
      </c>
      <c r="K98" s="313" t="s">
        <v>241</v>
      </c>
      <c r="L98" s="314" t="s">
        <v>242</v>
      </c>
      <c r="M98" s="313" t="s">
        <v>241</v>
      </c>
      <c r="N98" s="314" t="s">
        <v>242</v>
      </c>
      <c r="O98" s="315" t="s">
        <v>8</v>
      </c>
      <c r="P98" s="315" t="s">
        <v>9</v>
      </c>
      <c r="Q98" s="316" t="s">
        <v>253</v>
      </c>
      <c r="R98" s="317" t="s">
        <v>254</v>
      </c>
      <c r="S98" s="313" t="s">
        <v>241</v>
      </c>
      <c r="T98" s="314" t="s">
        <v>242</v>
      </c>
      <c r="U98" s="313" t="s">
        <v>241</v>
      </c>
      <c r="V98" s="314" t="s">
        <v>242</v>
      </c>
      <c r="W98" s="315" t="s">
        <v>8</v>
      </c>
      <c r="X98" s="315" t="s">
        <v>9</v>
      </c>
      <c r="Y98" s="316" t="s">
        <v>253</v>
      </c>
      <c r="Z98" s="317" t="s">
        <v>254</v>
      </c>
      <c r="AA98" s="313" t="s">
        <v>241</v>
      </c>
      <c r="AB98" s="314" t="s">
        <v>242</v>
      </c>
      <c r="AC98" s="313" t="s">
        <v>241</v>
      </c>
      <c r="AD98" s="314" t="s">
        <v>242</v>
      </c>
      <c r="AE98" s="315" t="s">
        <v>8</v>
      </c>
      <c r="AF98" s="315" t="s">
        <v>9</v>
      </c>
      <c r="AG98" s="316" t="s">
        <v>253</v>
      </c>
      <c r="AH98" s="317" t="s">
        <v>254</v>
      </c>
      <c r="AI98" s="313" t="s">
        <v>241</v>
      </c>
      <c r="AJ98" s="314" t="s">
        <v>242</v>
      </c>
      <c r="AK98" s="313" t="s">
        <v>241</v>
      </c>
      <c r="AL98" s="314" t="s">
        <v>242</v>
      </c>
      <c r="AM98" s="315" t="s">
        <v>8</v>
      </c>
      <c r="AN98" s="315" t="s">
        <v>9</v>
      </c>
      <c r="AO98" s="316" t="s">
        <v>253</v>
      </c>
      <c r="AP98" s="317" t="s">
        <v>254</v>
      </c>
      <c r="AQ98" s="313" t="s">
        <v>241</v>
      </c>
      <c r="AR98" s="314" t="s">
        <v>242</v>
      </c>
      <c r="AS98" s="313" t="s">
        <v>241</v>
      </c>
      <c r="AT98" s="314" t="s">
        <v>242</v>
      </c>
      <c r="AU98" s="315" t="s">
        <v>8</v>
      </c>
      <c r="AV98" s="315" t="s">
        <v>9</v>
      </c>
      <c r="AW98" s="316" t="s">
        <v>253</v>
      </c>
      <c r="AX98" s="317" t="s">
        <v>254</v>
      </c>
    </row>
    <row r="99" spans="2:50" x14ac:dyDescent="0.3">
      <c r="B99" s="380" t="s">
        <v>42</v>
      </c>
      <c r="C99" s="386">
        <v>2.5</v>
      </c>
      <c r="D99" s="387">
        <v>1</v>
      </c>
      <c r="E99" s="387">
        <v>2</v>
      </c>
      <c r="F99" s="387">
        <v>1</v>
      </c>
      <c r="G99" s="378">
        <f>('Carichi unitari'!$C$11+'Carichi unitari'!$C$10)*C99*D99*E99*F99</f>
        <v>27.509740259740262</v>
      </c>
      <c r="H99" s="319">
        <f>'Carichi unitari'!$D$10*C99*D99*E99*F99</f>
        <v>10</v>
      </c>
      <c r="I99" s="378">
        <f>G99*$E$25+H99*$F$25</f>
        <v>50.762662337662341</v>
      </c>
      <c r="J99" s="320">
        <f>G99+H99*$H$24</f>
        <v>30.509740259740262</v>
      </c>
      <c r="K99" s="386">
        <v>2.5</v>
      </c>
      <c r="L99" s="387">
        <v>1</v>
      </c>
      <c r="M99" s="387">
        <v>2</v>
      </c>
      <c r="N99" s="387">
        <v>1</v>
      </c>
      <c r="O99" s="378">
        <f>('Carichi unitari'!$C$11+'Carichi unitari'!$C$10)*K99*L99*M99*N99</f>
        <v>27.509740259740262</v>
      </c>
      <c r="P99" s="319">
        <f>'Carichi unitari'!$D$10*K99*L99*M99*N99</f>
        <v>10</v>
      </c>
      <c r="Q99" s="378">
        <f>O99*$E$25+P99*$F$25</f>
        <v>50.762662337662341</v>
      </c>
      <c r="R99" s="320">
        <f>O99+P99*$H$24</f>
        <v>30.509740259740262</v>
      </c>
      <c r="S99" s="386">
        <v>2.5</v>
      </c>
      <c r="T99" s="387">
        <v>1</v>
      </c>
      <c r="U99" s="387">
        <v>2</v>
      </c>
      <c r="V99" s="387">
        <v>1</v>
      </c>
      <c r="W99" s="378">
        <f>('Carichi unitari'!$C$11+'Carichi unitari'!$C$10)*S99*T99*U99*V99</f>
        <v>27.509740259740262</v>
      </c>
      <c r="X99" s="319">
        <f>'Carichi unitari'!$D$10*S99*T99*U99*V99</f>
        <v>10</v>
      </c>
      <c r="Y99" s="378">
        <f>W99*$E$25+X99*$F$25</f>
        <v>50.762662337662341</v>
      </c>
      <c r="Z99" s="320">
        <f>W99+X99*$H$24</f>
        <v>30.509740259740262</v>
      </c>
      <c r="AA99" s="386">
        <v>2.5</v>
      </c>
      <c r="AB99" s="387">
        <v>1</v>
      </c>
      <c r="AC99" s="387">
        <v>2</v>
      </c>
      <c r="AD99" s="387">
        <v>1</v>
      </c>
      <c r="AE99" s="378">
        <f>('Carichi unitari'!$C$11+'Carichi unitari'!$C$10)*AA99*AB99*AC99*AD99</f>
        <v>27.509740259740262</v>
      </c>
      <c r="AF99" s="319">
        <f>'Carichi unitari'!$D$10*AA99*AB99*AC99*AD99</f>
        <v>10</v>
      </c>
      <c r="AG99" s="378">
        <f>AE99*$E$25+AF99*$F$25</f>
        <v>50.762662337662341</v>
      </c>
      <c r="AH99" s="320">
        <f>AE99+AF99*$H$24</f>
        <v>30.509740259740262</v>
      </c>
      <c r="AI99" s="386">
        <v>2.5</v>
      </c>
      <c r="AJ99" s="387">
        <v>1</v>
      </c>
      <c r="AK99" s="387">
        <v>2</v>
      </c>
      <c r="AL99" s="387">
        <v>1</v>
      </c>
      <c r="AM99" s="378">
        <f>('Carichi unitari'!$C$11+'Carichi unitari'!$C$10)*AI99*AJ99*AK99*AL99</f>
        <v>27.509740259740262</v>
      </c>
      <c r="AN99" s="319">
        <f>'Carichi unitari'!$D$10*AI99*AJ99*AK99*AL99</f>
        <v>10</v>
      </c>
      <c r="AO99" s="378">
        <f>AM99*$E$25+AN99*$F$25</f>
        <v>50.762662337662341</v>
      </c>
      <c r="AP99" s="320">
        <f>AM99+AN99*$H$24</f>
        <v>30.509740259740262</v>
      </c>
      <c r="AQ99" s="386">
        <v>2.5</v>
      </c>
      <c r="AR99" s="387">
        <v>1</v>
      </c>
      <c r="AS99" s="387">
        <v>2</v>
      </c>
      <c r="AT99" s="387">
        <v>1</v>
      </c>
      <c r="AU99" s="378">
        <f>('Carichi unitari'!$C$11+'Carichi unitari'!$C$10)*AQ99*AR99*AS99*AT99</f>
        <v>27.509740259740262</v>
      </c>
      <c r="AV99" s="319">
        <f>'Carichi unitari'!$D$10*AQ99*AR99*AS99*AT99</f>
        <v>10</v>
      </c>
      <c r="AW99" s="378">
        <f>AU99*$E$25+AV99*$F$25</f>
        <v>50.762662337662341</v>
      </c>
      <c r="AX99" s="320">
        <f>AU99+AV99*$H$24</f>
        <v>30.509740259740262</v>
      </c>
    </row>
    <row r="100" spans="2:50" x14ac:dyDescent="0.3">
      <c r="B100" s="381" t="s">
        <v>45</v>
      </c>
      <c r="C100" s="37"/>
      <c r="D100" s="392"/>
      <c r="E100" s="392"/>
      <c r="F100" s="392"/>
      <c r="G100" s="9"/>
      <c r="H100" s="9"/>
      <c r="I100" s="9"/>
      <c r="J100" s="281"/>
      <c r="K100" s="37"/>
      <c r="L100" s="392"/>
      <c r="M100" s="392"/>
      <c r="N100" s="392"/>
      <c r="O100" s="9"/>
      <c r="P100" s="9"/>
      <c r="Q100" s="9"/>
      <c r="R100" s="281"/>
      <c r="S100" s="37"/>
      <c r="T100" s="392"/>
      <c r="U100" s="392"/>
      <c r="V100" s="392"/>
      <c r="W100" s="9"/>
      <c r="X100" s="9"/>
      <c r="Y100" s="9"/>
      <c r="Z100" s="281"/>
      <c r="AA100" s="37"/>
      <c r="AB100" s="392"/>
      <c r="AC100" s="392"/>
      <c r="AD100" s="392"/>
      <c r="AE100" s="9"/>
      <c r="AF100" s="9"/>
      <c r="AG100" s="9"/>
      <c r="AH100" s="281"/>
      <c r="AI100" s="37"/>
      <c r="AJ100" s="392"/>
      <c r="AK100" s="392"/>
      <c r="AL100" s="392"/>
      <c r="AM100" s="9"/>
      <c r="AN100" s="9"/>
      <c r="AO100" s="9"/>
      <c r="AP100" s="281"/>
      <c r="AQ100" s="37">
        <v>0.4</v>
      </c>
      <c r="AR100" s="392"/>
      <c r="AS100" s="392">
        <v>4.5</v>
      </c>
      <c r="AT100" s="392"/>
      <c r="AU100" s="9">
        <f>AQ100*AS100*'Carichi unitari'!$C$15</f>
        <v>6.3</v>
      </c>
      <c r="AV100" s="9">
        <f>AQ100*'Carichi unitari'!D15</f>
        <v>0.2</v>
      </c>
      <c r="AW100" s="9">
        <f>AU100*$E$25+AV100*$F$25</f>
        <v>8.49</v>
      </c>
      <c r="AX100" s="281">
        <f>AU100+AV100*I24</f>
        <v>6.42</v>
      </c>
    </row>
    <row r="101" spans="2:50" x14ac:dyDescent="0.3">
      <c r="B101" s="381" t="s">
        <v>43</v>
      </c>
      <c r="C101" s="37"/>
      <c r="D101" s="392"/>
      <c r="E101" s="392"/>
      <c r="F101" s="392"/>
      <c r="G101" s="9"/>
      <c r="H101" s="9"/>
      <c r="I101" s="9"/>
      <c r="J101" s="281"/>
      <c r="K101" s="37"/>
      <c r="L101" s="392"/>
      <c r="M101" s="392"/>
      <c r="N101" s="392"/>
      <c r="O101" s="9"/>
      <c r="P101" s="9"/>
      <c r="Q101" s="9"/>
      <c r="R101" s="281"/>
      <c r="S101" s="37"/>
      <c r="T101" s="392"/>
      <c r="U101" s="392"/>
      <c r="V101" s="392"/>
      <c r="W101" s="9"/>
      <c r="X101" s="9"/>
      <c r="Y101" s="9"/>
      <c r="Z101" s="281"/>
      <c r="AA101" s="37"/>
      <c r="AB101" s="392"/>
      <c r="AC101" s="392"/>
      <c r="AD101" s="392"/>
      <c r="AE101" s="9"/>
      <c r="AF101" s="9"/>
      <c r="AG101" s="9"/>
      <c r="AH101" s="281"/>
      <c r="AI101" s="37"/>
      <c r="AJ101" s="392"/>
      <c r="AK101" s="392"/>
      <c r="AL101" s="392"/>
      <c r="AM101" s="9"/>
      <c r="AN101" s="9"/>
      <c r="AO101" s="9"/>
      <c r="AP101" s="281"/>
      <c r="AQ101" s="37"/>
      <c r="AR101" s="392"/>
      <c r="AS101" s="392"/>
      <c r="AT101" s="392"/>
      <c r="AU101" s="9"/>
      <c r="AV101" s="9"/>
      <c r="AW101" s="9"/>
      <c r="AX101" s="281"/>
    </row>
    <row r="102" spans="2:50" x14ac:dyDescent="0.3">
      <c r="B102" s="382" t="s">
        <v>357</v>
      </c>
      <c r="C102" s="388">
        <v>4.5</v>
      </c>
      <c r="D102" s="385"/>
      <c r="E102" s="385"/>
      <c r="F102" s="385"/>
      <c r="G102" s="9">
        <f>C102*'Carichi unitari'!$C$22</f>
        <v>26.902061718750005</v>
      </c>
      <c r="H102" s="9"/>
      <c r="I102" s="9">
        <f>G102*$E$25</f>
        <v>34.972680234375005</v>
      </c>
      <c r="J102" s="281">
        <f>G102</f>
        <v>26.902061718750005</v>
      </c>
      <c r="K102" s="388">
        <v>4.5</v>
      </c>
      <c r="L102" s="385"/>
      <c r="M102" s="385"/>
      <c r="N102" s="385"/>
      <c r="O102" s="9">
        <f>K102*'Carichi unitari'!$C$22</f>
        <v>26.902061718750005</v>
      </c>
      <c r="P102" s="9"/>
      <c r="Q102" s="9">
        <f>O102*$E$25</f>
        <v>34.972680234375005</v>
      </c>
      <c r="R102" s="281">
        <f>O102</f>
        <v>26.902061718750005</v>
      </c>
      <c r="S102" s="388">
        <v>4.5</v>
      </c>
      <c r="T102" s="385"/>
      <c r="U102" s="385"/>
      <c r="V102" s="385"/>
      <c r="W102" s="9">
        <f>S102*'Carichi unitari'!$C$22</f>
        <v>26.902061718750005</v>
      </c>
      <c r="X102" s="9"/>
      <c r="Y102" s="9">
        <f>W102*$E$25</f>
        <v>34.972680234375005</v>
      </c>
      <c r="Z102" s="281">
        <f>W102</f>
        <v>26.902061718750005</v>
      </c>
      <c r="AA102" s="388">
        <v>4.5</v>
      </c>
      <c r="AB102" s="385"/>
      <c r="AC102" s="385"/>
      <c r="AD102" s="385"/>
      <c r="AE102" s="9">
        <f>AA102*'Carichi unitari'!$C$22</f>
        <v>26.902061718750005</v>
      </c>
      <c r="AF102" s="9"/>
      <c r="AG102" s="9">
        <f>AE102*$E$25</f>
        <v>34.972680234375005</v>
      </c>
      <c r="AH102" s="281">
        <f>AE102</f>
        <v>26.902061718750005</v>
      </c>
      <c r="AI102" s="388">
        <v>4.5</v>
      </c>
      <c r="AJ102" s="385"/>
      <c r="AK102" s="385"/>
      <c r="AL102" s="385"/>
      <c r="AM102" s="9">
        <f>AI102*'Carichi unitari'!$C$22</f>
        <v>26.902061718750005</v>
      </c>
      <c r="AN102" s="9"/>
      <c r="AO102" s="9">
        <f>AM102*$E$25</f>
        <v>34.972680234375005</v>
      </c>
      <c r="AP102" s="281">
        <f>AM102</f>
        <v>26.902061718750005</v>
      </c>
      <c r="AQ102" s="388"/>
      <c r="AR102" s="385"/>
      <c r="AS102" s="385"/>
      <c r="AT102" s="385"/>
      <c r="AU102" s="9"/>
      <c r="AV102" s="9"/>
      <c r="AW102" s="9"/>
      <c r="AX102" s="281"/>
    </row>
    <row r="103" spans="2:50" x14ac:dyDescent="0.3">
      <c r="B103" s="383" t="s">
        <v>358</v>
      </c>
      <c r="C103" s="388">
        <v>4.5</v>
      </c>
      <c r="D103" s="385">
        <v>1</v>
      </c>
      <c r="E103" s="385"/>
      <c r="F103" s="385"/>
      <c r="G103" s="16">
        <f>(C103*D103+E103*F103)*'Carichi unitari'!$C$17</f>
        <v>22.450616883116886</v>
      </c>
      <c r="H103" s="9"/>
      <c r="I103" s="9">
        <f>G103*$E$25</f>
        <v>29.185801948051953</v>
      </c>
      <c r="J103" s="281">
        <f>G103</f>
        <v>22.450616883116886</v>
      </c>
      <c r="K103" s="388">
        <v>4.5</v>
      </c>
      <c r="L103" s="385">
        <v>1</v>
      </c>
      <c r="M103" s="385"/>
      <c r="N103" s="385"/>
      <c r="O103" s="16">
        <f>(K103*L103+M103*N103)*'Carichi unitari'!$C$17</f>
        <v>22.450616883116886</v>
      </c>
      <c r="P103" s="9"/>
      <c r="Q103" s="9">
        <f>O103*$E$25</f>
        <v>29.185801948051953</v>
      </c>
      <c r="R103" s="281">
        <f>O103</f>
        <v>22.450616883116886</v>
      </c>
      <c r="S103" s="388">
        <v>4.5</v>
      </c>
      <c r="T103" s="385"/>
      <c r="U103" s="385"/>
      <c r="V103" s="385"/>
      <c r="W103" s="9">
        <f>S103*'Carichi unitari'!$C$17</f>
        <v>22.450616883116886</v>
      </c>
      <c r="X103" s="9"/>
      <c r="Y103" s="9">
        <f>W103*$E$25</f>
        <v>29.185801948051953</v>
      </c>
      <c r="Z103" s="281">
        <f>W103</f>
        <v>22.450616883116886</v>
      </c>
      <c r="AA103" s="388">
        <v>4.5</v>
      </c>
      <c r="AB103" s="385"/>
      <c r="AC103" s="385"/>
      <c r="AD103" s="385"/>
      <c r="AE103" s="9">
        <f>AA103*'Carichi unitari'!$C$18</f>
        <v>19.075616883116879</v>
      </c>
      <c r="AF103" s="9"/>
      <c r="AG103" s="9">
        <f>AE103*$E$25</f>
        <v>24.798301948051943</v>
      </c>
      <c r="AH103" s="281">
        <f>AE103</f>
        <v>19.075616883116879</v>
      </c>
      <c r="AI103" s="388">
        <v>4.5</v>
      </c>
      <c r="AJ103" s="385"/>
      <c r="AK103" s="385"/>
      <c r="AL103" s="385"/>
      <c r="AM103" s="9">
        <f>AI103*'Carichi unitari'!$C$18</f>
        <v>19.075616883116879</v>
      </c>
      <c r="AN103" s="9"/>
      <c r="AO103" s="9">
        <f>AM103*$E$25</f>
        <v>24.798301948051943</v>
      </c>
      <c r="AP103" s="281">
        <f>AM103</f>
        <v>19.075616883116879</v>
      </c>
      <c r="AQ103" s="388">
        <v>4.5</v>
      </c>
      <c r="AR103" s="385"/>
      <c r="AS103" s="385"/>
      <c r="AT103" s="385"/>
      <c r="AU103" s="9">
        <f>AQ103*'Carichi unitari'!$C$19</f>
        <v>15.700616883116885</v>
      </c>
      <c r="AV103" s="9"/>
      <c r="AW103" s="9">
        <f>AU103*$E$25</f>
        <v>20.410801948051951</v>
      </c>
      <c r="AX103" s="281">
        <f>AU103</f>
        <v>15.700616883116885</v>
      </c>
    </row>
    <row r="104" spans="2:50" x14ac:dyDescent="0.3">
      <c r="B104" s="383" t="s">
        <v>359</v>
      </c>
      <c r="C104" s="388"/>
      <c r="D104" s="385"/>
      <c r="E104" s="385"/>
      <c r="F104" s="385"/>
      <c r="G104" s="9"/>
      <c r="H104" s="9"/>
      <c r="I104" s="9"/>
      <c r="J104" s="281"/>
      <c r="K104" s="388"/>
      <c r="L104" s="385"/>
      <c r="M104" s="385"/>
      <c r="N104" s="385"/>
      <c r="O104" s="9"/>
      <c r="P104" s="9"/>
      <c r="Q104" s="9"/>
      <c r="R104" s="281"/>
      <c r="S104" s="388"/>
      <c r="T104" s="385"/>
      <c r="U104" s="385"/>
      <c r="V104" s="385"/>
      <c r="W104" s="9"/>
      <c r="X104" s="9"/>
      <c r="Y104" s="9"/>
      <c r="Z104" s="281"/>
      <c r="AA104" s="388"/>
      <c r="AB104" s="385"/>
      <c r="AC104" s="385"/>
      <c r="AD104" s="385"/>
      <c r="AE104" s="9"/>
      <c r="AF104" s="9"/>
      <c r="AG104" s="9"/>
      <c r="AH104" s="281"/>
      <c r="AI104" s="388"/>
      <c r="AJ104" s="385"/>
      <c r="AK104" s="385"/>
      <c r="AL104" s="385"/>
      <c r="AM104" s="9"/>
      <c r="AN104" s="9"/>
      <c r="AO104" s="9"/>
      <c r="AP104" s="281"/>
      <c r="AQ104" s="388"/>
      <c r="AR104" s="385"/>
      <c r="AS104" s="385"/>
      <c r="AT104" s="385"/>
      <c r="AU104" s="9"/>
      <c r="AV104" s="9"/>
      <c r="AW104" s="9"/>
      <c r="AX104" s="281"/>
    </row>
    <row r="105" spans="2:50" x14ac:dyDescent="0.3">
      <c r="B105" s="383" t="s">
        <v>247</v>
      </c>
      <c r="C105" s="388"/>
      <c r="D105" s="385"/>
      <c r="E105" s="385"/>
      <c r="F105" s="385"/>
      <c r="G105" s="9">
        <f>'Carichi unitari'!$C$23</f>
        <v>16.799999999999997</v>
      </c>
      <c r="H105" s="9"/>
      <c r="I105" s="9">
        <f>G105*$E$25</f>
        <v>21.839999999999996</v>
      </c>
      <c r="J105" s="281">
        <f>G105</f>
        <v>16.799999999999997</v>
      </c>
      <c r="K105" s="388"/>
      <c r="L105" s="385"/>
      <c r="M105" s="385"/>
      <c r="N105" s="385"/>
      <c r="O105" s="9">
        <f>'Carichi unitari'!$C$24</f>
        <v>14.400000000000002</v>
      </c>
      <c r="P105" s="9"/>
      <c r="Q105" s="9">
        <f>O105*$E$25</f>
        <v>18.720000000000002</v>
      </c>
      <c r="R105" s="281">
        <f>O105</f>
        <v>14.400000000000002</v>
      </c>
      <c r="S105" s="388"/>
      <c r="T105" s="385"/>
      <c r="U105" s="385"/>
      <c r="V105" s="385"/>
      <c r="W105" s="9">
        <f>'Carichi unitari'!$C$25</f>
        <v>13.125</v>
      </c>
      <c r="X105" s="9"/>
      <c r="Y105" s="9">
        <f>W105*$E$25</f>
        <v>17.0625</v>
      </c>
      <c r="Z105" s="281">
        <f>W105</f>
        <v>13.125</v>
      </c>
      <c r="AA105" s="388"/>
      <c r="AB105" s="385"/>
      <c r="AC105" s="385"/>
      <c r="AD105" s="385"/>
      <c r="AE105" s="9">
        <f>'Carichi unitari'!$C$25</f>
        <v>13.125</v>
      </c>
      <c r="AF105" s="9"/>
      <c r="AG105" s="9">
        <f>AE105*$E$25</f>
        <v>17.0625</v>
      </c>
      <c r="AH105" s="281">
        <f>AE105</f>
        <v>13.125</v>
      </c>
      <c r="AI105" s="388"/>
      <c r="AJ105" s="385"/>
      <c r="AK105" s="385"/>
      <c r="AL105" s="385"/>
      <c r="AM105" s="9">
        <f>'Carichi unitari'!$C$26</f>
        <v>11.700000000000001</v>
      </c>
      <c r="AN105" s="9"/>
      <c r="AO105" s="9">
        <f>AM105*$E$25</f>
        <v>15.210000000000003</v>
      </c>
      <c r="AP105" s="281">
        <f>AM105</f>
        <v>11.700000000000001</v>
      </c>
      <c r="AQ105" s="388"/>
      <c r="AR105" s="385"/>
      <c r="AS105" s="385"/>
      <c r="AT105" s="385"/>
      <c r="AU105" s="9"/>
      <c r="AV105" s="9"/>
      <c r="AW105" s="9"/>
      <c r="AX105" s="281"/>
    </row>
    <row r="106" spans="2:50" ht="15" thickBot="1" x14ac:dyDescent="0.35">
      <c r="B106" s="384" t="s">
        <v>380</v>
      </c>
      <c r="C106" s="389"/>
      <c r="D106" s="390"/>
      <c r="E106" s="390"/>
      <c r="F106" s="390"/>
      <c r="G106" s="301"/>
      <c r="H106" s="301"/>
      <c r="I106" s="350">
        <f>SUM(I99:I105)</f>
        <v>136.76114452008932</v>
      </c>
      <c r="J106" s="352">
        <f>SUM(J99:J105)</f>
        <v>96.662418861607151</v>
      </c>
      <c r="K106" s="389"/>
      <c r="L106" s="390"/>
      <c r="M106" s="390"/>
      <c r="N106" s="390"/>
      <c r="O106" s="301"/>
      <c r="P106" s="301"/>
      <c r="Q106" s="350">
        <f>SUM(Q99:Q105)</f>
        <v>133.64114452008931</v>
      </c>
      <c r="R106" s="352">
        <f>SUM(R99:R105)</f>
        <v>94.262418861607159</v>
      </c>
      <c r="S106" s="389"/>
      <c r="T106" s="390"/>
      <c r="U106" s="390"/>
      <c r="V106" s="390"/>
      <c r="W106" s="301"/>
      <c r="X106" s="301"/>
      <c r="Y106" s="350">
        <f>SUM(Y99:Y105)</f>
        <v>131.98364452008931</v>
      </c>
      <c r="Z106" s="352">
        <f>SUM(Z99:Z105)</f>
        <v>92.987418861607154</v>
      </c>
      <c r="AA106" s="389"/>
      <c r="AB106" s="390"/>
      <c r="AC106" s="390"/>
      <c r="AD106" s="390"/>
      <c r="AE106" s="301"/>
      <c r="AF106" s="301"/>
      <c r="AG106" s="350">
        <f>SUM(AG99:AG105)</f>
        <v>127.5961445200893</v>
      </c>
      <c r="AH106" s="352">
        <f>SUM(AH99:AH105)</f>
        <v>89.612418861607154</v>
      </c>
      <c r="AI106" s="389"/>
      <c r="AJ106" s="390"/>
      <c r="AK106" s="390"/>
      <c r="AL106" s="390"/>
      <c r="AM106" s="301"/>
      <c r="AN106" s="301"/>
      <c r="AO106" s="350">
        <f>SUM(AO99:AO105)</f>
        <v>125.7436445200893</v>
      </c>
      <c r="AP106" s="352">
        <f>SUM(AP99:AP105)</f>
        <v>88.187418861607156</v>
      </c>
      <c r="AQ106" s="389"/>
      <c r="AR106" s="390"/>
      <c r="AS106" s="390"/>
      <c r="AT106" s="390"/>
      <c r="AU106" s="301"/>
      <c r="AV106" s="301"/>
      <c r="AW106" s="350">
        <f>SUM(AW99:AW105)</f>
        <v>79.663464285714298</v>
      </c>
      <c r="AX106" s="352">
        <f>SUM(AX99:AX105)</f>
        <v>52.63035714285715</v>
      </c>
    </row>
    <row r="107" spans="2:50" ht="16.2" thickBot="1" x14ac:dyDescent="0.35">
      <c r="C107" s="602" t="s">
        <v>381</v>
      </c>
      <c r="D107" s="603"/>
      <c r="E107" s="603"/>
      <c r="F107" s="603"/>
      <c r="G107" s="603"/>
      <c r="H107" s="603"/>
      <c r="I107" s="603"/>
      <c r="J107" s="603"/>
      <c r="K107" s="602" t="s">
        <v>382</v>
      </c>
      <c r="L107" s="603"/>
      <c r="M107" s="603"/>
      <c r="N107" s="603"/>
      <c r="O107" s="603"/>
      <c r="P107" s="603"/>
      <c r="Q107" s="603"/>
      <c r="R107" s="603"/>
      <c r="S107" s="602" t="s">
        <v>383</v>
      </c>
      <c r="T107" s="603"/>
      <c r="U107" s="603"/>
      <c r="V107" s="603"/>
      <c r="W107" s="603"/>
      <c r="X107" s="603"/>
      <c r="Y107" s="603"/>
      <c r="Z107" s="603"/>
      <c r="AA107" s="602" t="s">
        <v>384</v>
      </c>
      <c r="AB107" s="603"/>
      <c r="AC107" s="603"/>
      <c r="AD107" s="603"/>
      <c r="AE107" s="603"/>
      <c r="AF107" s="603"/>
      <c r="AG107" s="603"/>
      <c r="AH107" s="603"/>
      <c r="AI107" s="602" t="s">
        <v>385</v>
      </c>
      <c r="AJ107" s="603"/>
      <c r="AK107" s="603"/>
      <c r="AL107" s="603"/>
      <c r="AM107" s="603"/>
      <c r="AN107" s="603"/>
      <c r="AO107" s="603"/>
      <c r="AP107" s="603"/>
      <c r="AQ107" s="602" t="s">
        <v>386</v>
      </c>
      <c r="AR107" s="603"/>
      <c r="AS107" s="603"/>
      <c r="AT107" s="603"/>
      <c r="AU107" s="603"/>
      <c r="AV107" s="603"/>
      <c r="AW107" s="603"/>
      <c r="AX107" s="603"/>
    </row>
    <row r="108" spans="2:50" ht="46.2" thickBot="1" x14ac:dyDescent="0.35">
      <c r="B108" s="379" t="s">
        <v>376</v>
      </c>
      <c r="C108" s="313" t="s">
        <v>241</v>
      </c>
      <c r="D108" s="314" t="s">
        <v>242</v>
      </c>
      <c r="E108" s="313" t="s">
        <v>241</v>
      </c>
      <c r="F108" s="314" t="s">
        <v>242</v>
      </c>
      <c r="G108" s="315" t="s">
        <v>8</v>
      </c>
      <c r="H108" s="315" t="s">
        <v>9</v>
      </c>
      <c r="I108" s="316" t="s">
        <v>253</v>
      </c>
      <c r="J108" s="317" t="s">
        <v>254</v>
      </c>
      <c r="K108" s="313" t="s">
        <v>241</v>
      </c>
      <c r="L108" s="314" t="s">
        <v>242</v>
      </c>
      <c r="M108" s="313" t="s">
        <v>241</v>
      </c>
      <c r="N108" s="314" t="s">
        <v>242</v>
      </c>
      <c r="O108" s="315" t="s">
        <v>8</v>
      </c>
      <c r="P108" s="315" t="s">
        <v>9</v>
      </c>
      <c r="Q108" s="316" t="s">
        <v>253</v>
      </c>
      <c r="R108" s="317" t="s">
        <v>254</v>
      </c>
      <c r="S108" s="313" t="s">
        <v>241</v>
      </c>
      <c r="T108" s="314" t="s">
        <v>242</v>
      </c>
      <c r="U108" s="313" t="s">
        <v>241</v>
      </c>
      <c r="V108" s="314" t="s">
        <v>242</v>
      </c>
      <c r="W108" s="315" t="s">
        <v>8</v>
      </c>
      <c r="X108" s="315" t="s">
        <v>9</v>
      </c>
      <c r="Y108" s="316" t="s">
        <v>253</v>
      </c>
      <c r="Z108" s="317" t="s">
        <v>254</v>
      </c>
      <c r="AA108" s="313" t="s">
        <v>241</v>
      </c>
      <c r="AB108" s="314" t="s">
        <v>242</v>
      </c>
      <c r="AC108" s="313" t="s">
        <v>241</v>
      </c>
      <c r="AD108" s="314" t="s">
        <v>242</v>
      </c>
      <c r="AE108" s="315" t="s">
        <v>8</v>
      </c>
      <c r="AF108" s="315" t="s">
        <v>9</v>
      </c>
      <c r="AG108" s="316" t="s">
        <v>253</v>
      </c>
      <c r="AH108" s="317" t="s">
        <v>254</v>
      </c>
      <c r="AI108" s="313" t="s">
        <v>241</v>
      </c>
      <c r="AJ108" s="314" t="s">
        <v>242</v>
      </c>
      <c r="AK108" s="313" t="s">
        <v>241</v>
      </c>
      <c r="AL108" s="314" t="s">
        <v>242</v>
      </c>
      <c r="AM108" s="315" t="s">
        <v>8</v>
      </c>
      <c r="AN108" s="315" t="s">
        <v>9</v>
      </c>
      <c r="AO108" s="316" t="s">
        <v>253</v>
      </c>
      <c r="AP108" s="317" t="s">
        <v>254</v>
      </c>
      <c r="AQ108" s="313" t="s">
        <v>241</v>
      </c>
      <c r="AR108" s="314" t="s">
        <v>242</v>
      </c>
      <c r="AS108" s="313" t="s">
        <v>241</v>
      </c>
      <c r="AT108" s="314" t="s">
        <v>242</v>
      </c>
      <c r="AU108" s="315" t="s">
        <v>8</v>
      </c>
      <c r="AV108" s="315" t="s">
        <v>9</v>
      </c>
      <c r="AW108" s="316" t="s">
        <v>253</v>
      </c>
      <c r="AX108" s="317" t="s">
        <v>254</v>
      </c>
    </row>
    <row r="109" spans="2:50" x14ac:dyDescent="0.3">
      <c r="B109" s="380" t="s">
        <v>42</v>
      </c>
      <c r="C109" s="386">
        <v>2</v>
      </c>
      <c r="D109" s="387">
        <v>1</v>
      </c>
      <c r="E109" s="166">
        <v>2.5</v>
      </c>
      <c r="F109" s="209">
        <v>1.2</v>
      </c>
      <c r="G109" s="411">
        <f>('Carichi unitari'!$C$11+'Carichi unitari'!$C$10)*C109*D109*E109*F109</f>
        <v>33.01168831168831</v>
      </c>
      <c r="H109" s="357">
        <f>'Carichi unitari'!$D$10*C109*D109*E109*F109</f>
        <v>12</v>
      </c>
      <c r="I109" s="411">
        <f>G109*$E$25+H109*$F$25</f>
        <v>60.915194805194808</v>
      </c>
      <c r="J109" s="421">
        <f>G109+H109*$H$24</f>
        <v>36.611688311688312</v>
      </c>
      <c r="K109" s="165">
        <v>2</v>
      </c>
      <c r="L109" s="166">
        <v>1</v>
      </c>
      <c r="M109" s="166">
        <v>2.5</v>
      </c>
      <c r="N109" s="209">
        <v>1.1000000000000001</v>
      </c>
      <c r="O109" s="378">
        <f>('Carichi unitari'!$C$11+'Carichi unitari'!$C$10)*K109*L109*M109*N109</f>
        <v>30.26071428571429</v>
      </c>
      <c r="P109" s="319">
        <f>'Carichi unitari'!$D$10*K109*L109*M109*N109</f>
        <v>11</v>
      </c>
      <c r="Q109" s="378">
        <f>O109*$E$25+P109*$F$25</f>
        <v>55.838928571428575</v>
      </c>
      <c r="R109" s="320">
        <f>O109+P109*$H$24</f>
        <v>33.56071428571429</v>
      </c>
      <c r="S109" s="165">
        <v>2</v>
      </c>
      <c r="T109" s="166">
        <v>1</v>
      </c>
      <c r="U109" s="166">
        <v>2.5</v>
      </c>
      <c r="V109" s="209">
        <v>1.1000000000000001</v>
      </c>
      <c r="W109" s="378">
        <f>('Carichi unitari'!$C$11+'Carichi unitari'!$C$10)*S109*T109*U109*V109</f>
        <v>30.26071428571429</v>
      </c>
      <c r="X109" s="319">
        <f>'Carichi unitari'!$D$10*S109*T109*U109*V109</f>
        <v>11</v>
      </c>
      <c r="Y109" s="378">
        <f>W109*$E$25+X109*$F$25</f>
        <v>55.838928571428575</v>
      </c>
      <c r="Z109" s="320">
        <f>W109+X109*$H$24</f>
        <v>33.56071428571429</v>
      </c>
      <c r="AA109" s="165">
        <v>2</v>
      </c>
      <c r="AB109" s="166">
        <v>1</v>
      </c>
      <c r="AC109" s="166">
        <v>2.5</v>
      </c>
      <c r="AD109" s="209">
        <v>1.1000000000000001</v>
      </c>
      <c r="AE109" s="378">
        <f>('Carichi unitari'!$C$11+'Carichi unitari'!$C$10)*AA109*AB109*AC109*AD109</f>
        <v>30.26071428571429</v>
      </c>
      <c r="AF109" s="319">
        <f>'Carichi unitari'!$D$10*AA109*AB109*AC109*AD109</f>
        <v>11</v>
      </c>
      <c r="AG109" s="378">
        <f>AE109*$E$25+AF109*$F$25</f>
        <v>55.838928571428575</v>
      </c>
      <c r="AH109" s="320">
        <f>AE109+AF109*$H$24</f>
        <v>33.56071428571429</v>
      </c>
      <c r="AI109" s="165">
        <v>2</v>
      </c>
      <c r="AJ109" s="166">
        <v>1</v>
      </c>
      <c r="AK109" s="166">
        <v>2.5</v>
      </c>
      <c r="AL109" s="209">
        <v>1.1000000000000001</v>
      </c>
      <c r="AM109" s="378">
        <f>('Carichi unitari'!$C$11+'Carichi unitari'!$C$10)*AI109*AJ109*AK109*AL109</f>
        <v>30.26071428571429</v>
      </c>
      <c r="AN109" s="319">
        <f>'Carichi unitari'!$D$10*AI109*AJ109*AK109*AL109</f>
        <v>11</v>
      </c>
      <c r="AO109" s="378">
        <f>AM109*$E$25+AN109*$F$25</f>
        <v>55.838928571428575</v>
      </c>
      <c r="AP109" s="320">
        <f>AM109+AN109*$H$24</f>
        <v>33.56071428571429</v>
      </c>
      <c r="AQ109" s="165">
        <v>2</v>
      </c>
      <c r="AR109" s="166">
        <v>1</v>
      </c>
      <c r="AS109" s="166">
        <v>2.5</v>
      </c>
      <c r="AT109" s="209">
        <v>1.1000000000000001</v>
      </c>
      <c r="AU109" s="378">
        <f>('Carichi unitari'!$C$11+'Carichi unitari'!$C$10)*AQ109*AR109*AS109*AT109</f>
        <v>30.26071428571429</v>
      </c>
      <c r="AV109" s="319">
        <f>'Carichi unitari'!$D$10*AQ109*AR109*AS109*AT109</f>
        <v>11</v>
      </c>
      <c r="AW109" s="378">
        <f>AU109*$E$25+AV109*$F$25</f>
        <v>55.838928571428575</v>
      </c>
      <c r="AX109" s="320">
        <f>AU109+AV109*$H$24</f>
        <v>33.56071428571429</v>
      </c>
    </row>
    <row r="110" spans="2:50" x14ac:dyDescent="0.3">
      <c r="B110" s="381" t="s">
        <v>42</v>
      </c>
      <c r="C110" s="37">
        <v>2</v>
      </c>
      <c r="D110" s="400">
        <v>1</v>
      </c>
      <c r="E110" s="50">
        <v>2.5</v>
      </c>
      <c r="F110" s="210">
        <v>1</v>
      </c>
      <c r="G110" s="412">
        <f>('Carichi unitari'!$C$11+'Carichi unitari'!$C$10)*C110*D110*E110*F110</f>
        <v>27.509740259740262</v>
      </c>
      <c r="H110" s="358">
        <f>'Carichi unitari'!$D$10*C110*D110*E110*F110</f>
        <v>10</v>
      </c>
      <c r="I110" s="412">
        <f>G110*$E$25+H110*$F$25</f>
        <v>50.762662337662341</v>
      </c>
      <c r="J110" s="417">
        <f>G110+H110*$H$24</f>
        <v>30.509740259740262</v>
      </c>
      <c r="K110" s="171">
        <v>2</v>
      </c>
      <c r="L110" s="50">
        <v>1</v>
      </c>
      <c r="M110" s="50">
        <v>2.5</v>
      </c>
      <c r="N110" s="210">
        <v>1</v>
      </c>
      <c r="O110" s="329">
        <f>('Carichi unitari'!$C$11+'Carichi unitari'!$C$10)*K110*L110*M110*N110</f>
        <v>27.509740259740262</v>
      </c>
      <c r="P110" s="9">
        <f>'Carichi unitari'!$D$10*K110*L110*M110*N110</f>
        <v>10</v>
      </c>
      <c r="Q110" s="329">
        <f>O110*$E$25+P110*$F$25</f>
        <v>50.762662337662341</v>
      </c>
      <c r="R110" s="281">
        <f>O110+P110*$H$24</f>
        <v>30.509740259740262</v>
      </c>
      <c r="S110" s="171">
        <v>2</v>
      </c>
      <c r="T110" s="50">
        <v>1</v>
      </c>
      <c r="U110" s="50">
        <v>2.5</v>
      </c>
      <c r="V110" s="210">
        <v>1</v>
      </c>
      <c r="W110" s="329">
        <f>('Carichi unitari'!$C$11+'Carichi unitari'!$C$10)*S110*T110*U110*V110</f>
        <v>27.509740259740262</v>
      </c>
      <c r="X110" s="9">
        <f>'Carichi unitari'!$D$10*S110*T110*U110*V110</f>
        <v>10</v>
      </c>
      <c r="Y110" s="329">
        <f>W110*$E$25+X110*$F$25</f>
        <v>50.762662337662341</v>
      </c>
      <c r="Z110" s="281">
        <f>W110+X110*$H$24</f>
        <v>30.509740259740262</v>
      </c>
      <c r="AA110" s="171">
        <v>2</v>
      </c>
      <c r="AB110" s="50">
        <v>1</v>
      </c>
      <c r="AC110" s="50">
        <v>2.5</v>
      </c>
      <c r="AD110" s="210">
        <v>1</v>
      </c>
      <c r="AE110" s="329">
        <f>('Carichi unitari'!$C$11+'Carichi unitari'!$C$10)*AA110*AB110*AC110*AD110</f>
        <v>27.509740259740262</v>
      </c>
      <c r="AF110" s="9">
        <f>'Carichi unitari'!$D$10*AA110*AB110*AC110*AD110</f>
        <v>10</v>
      </c>
      <c r="AG110" s="329">
        <f>AE110*$E$25+AF110*$F$25</f>
        <v>50.762662337662341</v>
      </c>
      <c r="AH110" s="281">
        <f>AE110+AF110*$H$24</f>
        <v>30.509740259740262</v>
      </c>
      <c r="AI110" s="171">
        <v>2</v>
      </c>
      <c r="AJ110" s="50">
        <v>1</v>
      </c>
      <c r="AK110" s="50">
        <v>2.5</v>
      </c>
      <c r="AL110" s="210">
        <v>1</v>
      </c>
      <c r="AM110" s="329">
        <f>('Carichi unitari'!$C$11+'Carichi unitari'!$C$10)*AI110*AJ110*AK110*AL110</f>
        <v>27.509740259740262</v>
      </c>
      <c r="AN110" s="9">
        <f>'Carichi unitari'!$D$10*AI110*AJ110*AK110*AL110</f>
        <v>10</v>
      </c>
      <c r="AO110" s="329">
        <f>AM110*$E$25+AN110*$F$25</f>
        <v>50.762662337662341</v>
      </c>
      <c r="AP110" s="281">
        <f>AM110+AN110*$H$24</f>
        <v>30.509740259740262</v>
      </c>
      <c r="AQ110" s="171">
        <v>2</v>
      </c>
      <c r="AR110" s="50">
        <v>1</v>
      </c>
      <c r="AS110" s="50">
        <v>2.5</v>
      </c>
      <c r="AT110" s="210">
        <v>1</v>
      </c>
      <c r="AU110" s="329">
        <f>('Carichi unitari'!$C$11+'Carichi unitari'!$C$10)*AQ110*AR110*AS110*AT110</f>
        <v>27.509740259740262</v>
      </c>
      <c r="AV110" s="9">
        <f>'Carichi unitari'!$D$10*AQ110*AR110*AS110*AT110</f>
        <v>10</v>
      </c>
      <c r="AW110" s="329">
        <f>AU110*$E$25+AV110*$F$25</f>
        <v>50.762662337662341</v>
      </c>
      <c r="AX110" s="281">
        <f>AU110+AV110*$H$24</f>
        <v>30.509740259740262</v>
      </c>
    </row>
    <row r="111" spans="2:50" x14ac:dyDescent="0.3">
      <c r="B111" s="381" t="s">
        <v>42</v>
      </c>
      <c r="C111" s="37">
        <v>2.2999999999999998</v>
      </c>
      <c r="D111" s="400">
        <v>1</v>
      </c>
      <c r="E111" s="50">
        <v>2.5</v>
      </c>
      <c r="F111" s="210">
        <v>1.2</v>
      </c>
      <c r="G111" s="412">
        <f>('Carichi unitari'!$C$11+'Carichi unitari'!$C$10)*C111*D111*E111*F111</f>
        <v>37.963441558441559</v>
      </c>
      <c r="H111" s="358">
        <f>'Carichi unitari'!$D$10*C111*D111*E111*F111</f>
        <v>13.799999999999999</v>
      </c>
      <c r="I111" s="412">
        <f>G111*$E$25+H111*$F$25</f>
        <v>70.052474025974021</v>
      </c>
      <c r="J111" s="417">
        <f>G111+H111*$H$24</f>
        <v>42.10344155844156</v>
      </c>
      <c r="K111" s="171">
        <v>2.2999999999999998</v>
      </c>
      <c r="L111" s="50">
        <v>1</v>
      </c>
      <c r="M111" s="50">
        <v>2.5</v>
      </c>
      <c r="N111" s="210">
        <v>1.1000000000000001</v>
      </c>
      <c r="O111" s="329">
        <f>('Carichi unitari'!$C$11+'Carichi unitari'!$C$10)*K111*L111*M111*N111</f>
        <v>34.799821428571434</v>
      </c>
      <c r="P111" s="9">
        <f>'Carichi unitari'!$D$10*K111*L111*M111*N111</f>
        <v>12.65</v>
      </c>
      <c r="Q111" s="329">
        <f>O111*$E$25+P111*$F$25</f>
        <v>64.214767857142874</v>
      </c>
      <c r="R111" s="281">
        <f>O111+P111*$H$24</f>
        <v>38.594821428571436</v>
      </c>
      <c r="S111" s="171">
        <v>2.2999999999999998</v>
      </c>
      <c r="T111" s="50">
        <v>1</v>
      </c>
      <c r="U111" s="50">
        <v>2.5</v>
      </c>
      <c r="V111" s="210">
        <v>1.1000000000000001</v>
      </c>
      <c r="W111" s="329">
        <f>('Carichi unitari'!$C$11+'Carichi unitari'!$C$10)*S111*T111*U111*V111</f>
        <v>34.799821428571434</v>
      </c>
      <c r="X111" s="9">
        <f>'Carichi unitari'!$D$10*S111*T111*U111*V111</f>
        <v>12.65</v>
      </c>
      <c r="Y111" s="329">
        <f>W111*$E$25+X111*$F$25</f>
        <v>64.214767857142874</v>
      </c>
      <c r="Z111" s="281">
        <f>W111+X111*$H$24</f>
        <v>38.594821428571436</v>
      </c>
      <c r="AA111" s="171">
        <v>2.2999999999999998</v>
      </c>
      <c r="AB111" s="50">
        <v>1</v>
      </c>
      <c r="AC111" s="50">
        <v>2.5</v>
      </c>
      <c r="AD111" s="210">
        <v>1.1000000000000001</v>
      </c>
      <c r="AE111" s="329">
        <f>('Carichi unitari'!$C$11+'Carichi unitari'!$C$10)*AA111*AB111*AC111*AD111</f>
        <v>34.799821428571434</v>
      </c>
      <c r="AF111" s="9">
        <f>'Carichi unitari'!$D$10*AA111*AB111*AC111*AD111</f>
        <v>12.65</v>
      </c>
      <c r="AG111" s="329">
        <f>AE111*$E$25+AF111*$F$25</f>
        <v>64.214767857142874</v>
      </c>
      <c r="AH111" s="281">
        <f>AE111+AF111*$H$24</f>
        <v>38.594821428571436</v>
      </c>
      <c r="AI111" s="171">
        <v>2.2999999999999998</v>
      </c>
      <c r="AJ111" s="50">
        <v>1</v>
      </c>
      <c r="AK111" s="50">
        <v>2.5</v>
      </c>
      <c r="AL111" s="210">
        <v>1.1000000000000001</v>
      </c>
      <c r="AM111" s="329">
        <f>('Carichi unitari'!$C$11+'Carichi unitari'!$C$10)*AI111*AJ111*AK111*AL111</f>
        <v>34.799821428571434</v>
      </c>
      <c r="AN111" s="9">
        <f>'Carichi unitari'!$D$10*AI111*AJ111*AK111*AL111</f>
        <v>12.65</v>
      </c>
      <c r="AO111" s="329">
        <f>AM111*$E$25+AN111*$F$25</f>
        <v>64.214767857142874</v>
      </c>
      <c r="AP111" s="281">
        <f>AM111+AN111*$H$24</f>
        <v>38.594821428571436</v>
      </c>
      <c r="AQ111" s="171">
        <v>2.2999999999999998</v>
      </c>
      <c r="AR111" s="50">
        <v>1</v>
      </c>
      <c r="AS111" s="50">
        <v>2.5</v>
      </c>
      <c r="AT111" s="210">
        <v>1.1000000000000001</v>
      </c>
      <c r="AU111" s="329">
        <f>('Carichi unitari'!$C$11+'Carichi unitari'!$C$10)*AQ111*AR111*AS111*AT111</f>
        <v>34.799821428571434</v>
      </c>
      <c r="AV111" s="9">
        <f>'Carichi unitari'!$D$10*AQ111*AR111*AS111*AT111</f>
        <v>12.65</v>
      </c>
      <c r="AW111" s="329">
        <f>AU111*$E$25+AV111*$F$25</f>
        <v>64.214767857142874</v>
      </c>
      <c r="AX111" s="281">
        <f>AU111+AV111*$H$24</f>
        <v>38.594821428571436</v>
      </c>
    </row>
    <row r="112" spans="2:50" x14ac:dyDescent="0.3">
      <c r="B112" s="382" t="s">
        <v>7</v>
      </c>
      <c r="C112" s="388">
        <v>2.2999999999999998</v>
      </c>
      <c r="D112" s="385">
        <v>1</v>
      </c>
      <c r="E112" s="385">
        <v>2.5</v>
      </c>
      <c r="F112" s="303">
        <v>1.2</v>
      </c>
      <c r="G112" s="329">
        <f>C112*D112*E112*F112*'Carichi unitari'!$C$16</f>
        <v>48.632580000000004</v>
      </c>
      <c r="H112" s="9">
        <f>C112*D112*E112*F112*'Carichi unitari'!$D$14</f>
        <v>27.599999999999998</v>
      </c>
      <c r="I112" s="412">
        <f>G112*$E$25+H112*$F$25</f>
        <v>104.622354</v>
      </c>
      <c r="J112" s="417">
        <f>G112+H112*$I$24</f>
        <v>65.192580000000007</v>
      </c>
      <c r="K112" s="388">
        <v>2.2999999999999998</v>
      </c>
      <c r="L112" s="385">
        <v>1</v>
      </c>
      <c r="M112" s="385">
        <v>2.5</v>
      </c>
      <c r="N112" s="303">
        <v>1.2</v>
      </c>
      <c r="O112" s="329">
        <f>K112*L112*M112*N112*'Carichi unitari'!$C$16</f>
        <v>48.632580000000004</v>
      </c>
      <c r="P112" s="9">
        <f>K112*L112*M112*N112*'Carichi unitari'!$D$14</f>
        <v>27.599999999999998</v>
      </c>
      <c r="Q112" s="412">
        <f>O112*$E$25+P112*$F$25</f>
        <v>104.622354</v>
      </c>
      <c r="R112" s="417">
        <f>O112+P112*$I$24</f>
        <v>65.192580000000007</v>
      </c>
      <c r="S112" s="388">
        <v>2.2999999999999998</v>
      </c>
      <c r="T112" s="385">
        <v>1</v>
      </c>
      <c r="U112" s="385">
        <v>2.5</v>
      </c>
      <c r="V112" s="303">
        <v>1.2</v>
      </c>
      <c r="W112" s="329">
        <f>S112*T112*U112*V112*'Carichi unitari'!$C$16</f>
        <v>48.632580000000004</v>
      </c>
      <c r="X112" s="9">
        <f>S112*T112*U112*V112*'Carichi unitari'!$D$14</f>
        <v>27.599999999999998</v>
      </c>
      <c r="Y112" s="412">
        <f>W112*$E$25+X112*$F$25</f>
        <v>104.622354</v>
      </c>
      <c r="Z112" s="417">
        <f>W112+X112*$I$24</f>
        <v>65.192580000000007</v>
      </c>
      <c r="AA112" s="388">
        <v>2.2999999999999998</v>
      </c>
      <c r="AB112" s="385">
        <v>1</v>
      </c>
      <c r="AC112" s="385">
        <v>2.5</v>
      </c>
      <c r="AD112" s="303">
        <v>1.2</v>
      </c>
      <c r="AE112" s="329">
        <f>AA112*AB112*AC112*AD112*'Carichi unitari'!$C$16</f>
        <v>48.632580000000004</v>
      </c>
      <c r="AF112" s="9">
        <f>AA112*AB112*AC112*AD112*'Carichi unitari'!$D$14</f>
        <v>27.599999999999998</v>
      </c>
      <c r="AG112" s="412">
        <f>AE112*$E$25+AF112*$F$25</f>
        <v>104.622354</v>
      </c>
      <c r="AH112" s="417">
        <f>AE112+AF112*$I$24</f>
        <v>65.192580000000007</v>
      </c>
      <c r="AI112" s="388">
        <v>2.2999999999999998</v>
      </c>
      <c r="AJ112" s="385">
        <v>1</v>
      </c>
      <c r="AK112" s="385">
        <v>2.5</v>
      </c>
      <c r="AL112" s="303">
        <v>1.2</v>
      </c>
      <c r="AM112" s="329">
        <f>AI112*AJ112*AK112*AL112*'Carichi unitari'!$C$16</f>
        <v>48.632580000000004</v>
      </c>
      <c r="AN112" s="9">
        <f>AI112*AJ112*AK112*AL112*'Carichi unitari'!$D$14</f>
        <v>27.599999999999998</v>
      </c>
      <c r="AO112" s="412">
        <f>AM112*$E$25+AN112*$F$25</f>
        <v>104.622354</v>
      </c>
      <c r="AP112" s="417">
        <f>AM112+AN112*$I$24</f>
        <v>65.192580000000007</v>
      </c>
      <c r="AQ112" s="388">
        <v>2.2999999999999998</v>
      </c>
      <c r="AR112" s="385">
        <v>1</v>
      </c>
      <c r="AS112" s="385">
        <v>2.5</v>
      </c>
      <c r="AT112" s="303">
        <v>1.2</v>
      </c>
      <c r="AU112" s="329">
        <f>AQ112*AR112*AS112*AT112*'Carichi unitari'!$C$16</f>
        <v>48.632580000000004</v>
      </c>
      <c r="AV112" s="9">
        <f>AQ112*AR112*AS112*AT112*'Carichi unitari'!$D$14</f>
        <v>27.599999999999998</v>
      </c>
      <c r="AW112" s="412">
        <f>AU112*$E$25+AV112*$F$25</f>
        <v>104.622354</v>
      </c>
      <c r="AX112" s="417">
        <f>AU112+AV112*$I$24</f>
        <v>65.192580000000007</v>
      </c>
    </row>
    <row r="113" spans="2:50" x14ac:dyDescent="0.3">
      <c r="B113" s="383" t="s">
        <v>358</v>
      </c>
      <c r="C113" s="388">
        <v>2.2999999999999998</v>
      </c>
      <c r="D113" s="385">
        <v>1</v>
      </c>
      <c r="E113" s="385">
        <v>5</v>
      </c>
      <c r="F113" s="385">
        <v>1</v>
      </c>
      <c r="G113" s="16">
        <f>(C113*D113+E113*F113)*'Carichi unitari'!$C$17</f>
        <v>36.41988961038961</v>
      </c>
      <c r="H113" s="16"/>
      <c r="I113" s="16">
        <f>G113*$E$25</f>
        <v>47.345856493506496</v>
      </c>
      <c r="J113" s="356">
        <f>G113</f>
        <v>36.41988961038961</v>
      </c>
      <c r="K113" s="388">
        <v>2.2999999999999998</v>
      </c>
      <c r="L113" s="385">
        <v>1</v>
      </c>
      <c r="M113" s="385">
        <v>5</v>
      </c>
      <c r="N113" s="385">
        <v>1</v>
      </c>
      <c r="O113" s="16">
        <f>(K113*L113+M113*N113)*'Carichi unitari'!$C$17</f>
        <v>36.41988961038961</v>
      </c>
      <c r="P113" s="16"/>
      <c r="Q113" s="16">
        <f>O113*$E$25</f>
        <v>47.345856493506496</v>
      </c>
      <c r="R113" s="356">
        <f>O113</f>
        <v>36.41988961038961</v>
      </c>
      <c r="S113" s="388">
        <v>2.2999999999999998</v>
      </c>
      <c r="T113" s="385">
        <v>1</v>
      </c>
      <c r="U113" s="385">
        <v>5</v>
      </c>
      <c r="V113" s="385">
        <v>1</v>
      </c>
      <c r="W113" s="16">
        <f>(S113*T113+U113*V113)*'Carichi unitari'!$C$17</f>
        <v>36.41988961038961</v>
      </c>
      <c r="X113" s="16"/>
      <c r="Y113" s="16">
        <f>W113*$E$25</f>
        <v>47.345856493506496</v>
      </c>
      <c r="Z113" s="356">
        <f>W113</f>
        <v>36.41988961038961</v>
      </c>
      <c r="AA113" s="388">
        <v>2.2999999999999998</v>
      </c>
      <c r="AB113" s="385">
        <v>1</v>
      </c>
      <c r="AC113" s="385">
        <v>5</v>
      </c>
      <c r="AD113" s="385">
        <v>1</v>
      </c>
      <c r="AE113" s="16">
        <f>(AA113*AB113+AC113*AD113)*'Carichi unitari'!$C$18</f>
        <v>30.944889610389605</v>
      </c>
      <c r="AF113" s="16"/>
      <c r="AG113" s="16">
        <f>AE113*$E$25</f>
        <v>40.228356493506489</v>
      </c>
      <c r="AH113" s="356">
        <f>AE113</f>
        <v>30.944889610389605</v>
      </c>
      <c r="AI113" s="388">
        <v>2.2999999999999998</v>
      </c>
      <c r="AJ113" s="385">
        <v>1</v>
      </c>
      <c r="AK113" s="385">
        <v>5</v>
      </c>
      <c r="AL113" s="385">
        <v>1</v>
      </c>
      <c r="AM113" s="16">
        <f>(AI113*AJ113+AK113*AL113)*'Carichi unitari'!$C$18</f>
        <v>30.944889610389605</v>
      </c>
      <c r="AN113" s="16"/>
      <c r="AO113" s="16">
        <f>AM113*$E$25</f>
        <v>40.228356493506489</v>
      </c>
      <c r="AP113" s="356">
        <f>AM113</f>
        <v>30.944889610389605</v>
      </c>
      <c r="AQ113" s="388">
        <v>2.2999999999999998</v>
      </c>
      <c r="AR113" s="385">
        <v>1</v>
      </c>
      <c r="AS113" s="385">
        <v>5</v>
      </c>
      <c r="AT113" s="385">
        <v>1</v>
      </c>
      <c r="AU113" s="16">
        <f>(AQ113*AR113+AS113*AT113)*'Carichi unitari'!$C$19</f>
        <v>25.469889610389611</v>
      </c>
      <c r="AV113" s="16"/>
      <c r="AW113" s="16">
        <f>AU113*$E$25</f>
        <v>33.110856493506496</v>
      </c>
      <c r="AX113" s="356">
        <f>AU113</f>
        <v>25.469889610389611</v>
      </c>
    </row>
    <row r="114" spans="2:50" x14ac:dyDescent="0.3">
      <c r="B114" s="383" t="s">
        <v>359</v>
      </c>
      <c r="C114" s="388">
        <v>2</v>
      </c>
      <c r="D114" s="385">
        <v>1</v>
      </c>
      <c r="E114" s="385"/>
      <c r="F114" s="385"/>
      <c r="G114" s="9">
        <f>(C114*D114+E114*F114)*'Carichi unitari'!$C$21</f>
        <v>3.693662337662337</v>
      </c>
      <c r="H114" s="9"/>
      <c r="I114" s="9">
        <f>G114*$E$25</f>
        <v>4.8017610389610379</v>
      </c>
      <c r="J114" s="281">
        <f>G114</f>
        <v>3.693662337662337</v>
      </c>
      <c r="K114" s="388">
        <v>2</v>
      </c>
      <c r="L114" s="385">
        <v>1</v>
      </c>
      <c r="M114" s="385"/>
      <c r="N114" s="385"/>
      <c r="O114" s="9">
        <f>(K114*L114+M114*N114)*'Carichi unitari'!$C$21</f>
        <v>3.693662337662337</v>
      </c>
      <c r="P114" s="9"/>
      <c r="Q114" s="9">
        <f>O114*$E$25</f>
        <v>4.8017610389610379</v>
      </c>
      <c r="R114" s="281">
        <f>O114</f>
        <v>3.693662337662337</v>
      </c>
      <c r="S114" s="388">
        <v>2</v>
      </c>
      <c r="T114" s="385">
        <v>1</v>
      </c>
      <c r="U114" s="385"/>
      <c r="V114" s="385"/>
      <c r="W114" s="9">
        <f>(S114*T114+U114*V114)*'Carichi unitari'!$C$21</f>
        <v>3.693662337662337</v>
      </c>
      <c r="X114" s="9"/>
      <c r="Y114" s="9">
        <f>W114*$E$25</f>
        <v>4.8017610389610379</v>
      </c>
      <c r="Z114" s="281">
        <f>W114</f>
        <v>3.693662337662337</v>
      </c>
      <c r="AA114" s="388">
        <v>2</v>
      </c>
      <c r="AB114" s="385">
        <v>1</v>
      </c>
      <c r="AC114" s="385"/>
      <c r="AD114" s="385"/>
      <c r="AE114" s="9">
        <f>(AA114*AB114+AC114*AD114)*'Carichi unitari'!$C$21</f>
        <v>3.693662337662337</v>
      </c>
      <c r="AF114" s="9"/>
      <c r="AG114" s="9">
        <f>AE114*$E$25</f>
        <v>4.8017610389610379</v>
      </c>
      <c r="AH114" s="281">
        <f>AE114</f>
        <v>3.693662337662337</v>
      </c>
      <c r="AI114" s="388">
        <v>2</v>
      </c>
      <c r="AJ114" s="385">
        <v>1</v>
      </c>
      <c r="AK114" s="385"/>
      <c r="AL114" s="385"/>
      <c r="AM114" s="9">
        <f>(AI114*AJ114+AK114*AL114)*'Carichi unitari'!$C$21</f>
        <v>3.693662337662337</v>
      </c>
      <c r="AN114" s="9"/>
      <c r="AO114" s="9">
        <f>AM114*$E$25</f>
        <v>4.8017610389610379</v>
      </c>
      <c r="AP114" s="281">
        <f>AM114</f>
        <v>3.693662337662337</v>
      </c>
      <c r="AQ114" s="388">
        <v>2</v>
      </c>
      <c r="AR114" s="385">
        <v>1</v>
      </c>
      <c r="AS114" s="385"/>
      <c r="AT114" s="385"/>
      <c r="AU114" s="9">
        <f>(AQ114*AR114+AS114*AT114)*'Carichi unitari'!$C$21</f>
        <v>3.693662337662337</v>
      </c>
      <c r="AV114" s="9"/>
      <c r="AW114" s="9">
        <f>AU114*$E$25</f>
        <v>4.8017610389610379</v>
      </c>
      <c r="AX114" s="281">
        <f>AU114</f>
        <v>3.693662337662337</v>
      </c>
    </row>
    <row r="115" spans="2:50" x14ac:dyDescent="0.3">
      <c r="B115" s="382" t="s">
        <v>357</v>
      </c>
      <c r="C115" s="388">
        <v>7.3</v>
      </c>
      <c r="D115" s="385">
        <v>0.9</v>
      </c>
      <c r="E115" s="385"/>
      <c r="F115" s="385"/>
      <c r="G115" s="9">
        <f>C115*D115*'Carichi unitari'!$C$22</f>
        <v>39.277010109375006</v>
      </c>
      <c r="H115" s="9"/>
      <c r="I115" s="9">
        <f>G115*$E$25</f>
        <v>51.060113142187511</v>
      </c>
      <c r="J115" s="281">
        <f>G115</f>
        <v>39.277010109375006</v>
      </c>
      <c r="K115" s="388">
        <v>7.3</v>
      </c>
      <c r="L115" s="385">
        <v>0.8</v>
      </c>
      <c r="M115" s="385"/>
      <c r="N115" s="385"/>
      <c r="O115" s="9">
        <f>K115*L115*'Carichi unitari'!$C$22</f>
        <v>34.912897875000006</v>
      </c>
      <c r="P115" s="9"/>
      <c r="Q115" s="9">
        <f>O115*$E$25</f>
        <v>45.38676723750001</v>
      </c>
      <c r="R115" s="281">
        <f>O115</f>
        <v>34.912897875000006</v>
      </c>
      <c r="S115" s="388">
        <v>7.3</v>
      </c>
      <c r="T115" s="385">
        <v>0.8</v>
      </c>
      <c r="U115" s="385"/>
      <c r="V115" s="385"/>
      <c r="W115" s="9">
        <f>S115*T115*'Carichi unitari'!$C$22</f>
        <v>34.912897875000006</v>
      </c>
      <c r="X115" s="9"/>
      <c r="Y115" s="9">
        <f>W115*$E$25</f>
        <v>45.38676723750001</v>
      </c>
      <c r="Z115" s="281">
        <f>W115</f>
        <v>34.912897875000006</v>
      </c>
      <c r="AA115" s="388">
        <v>7.3</v>
      </c>
      <c r="AB115" s="385">
        <v>0.8</v>
      </c>
      <c r="AC115" s="385"/>
      <c r="AD115" s="385"/>
      <c r="AE115" s="9">
        <f>AA115*AB115*'Carichi unitari'!$C$22</f>
        <v>34.912897875000006</v>
      </c>
      <c r="AF115" s="9"/>
      <c r="AG115" s="9">
        <f>AE115*$E$25</f>
        <v>45.38676723750001</v>
      </c>
      <c r="AH115" s="281">
        <f>AE115</f>
        <v>34.912897875000006</v>
      </c>
      <c r="AI115" s="388">
        <v>7.3</v>
      </c>
      <c r="AJ115" s="385">
        <v>0.8</v>
      </c>
      <c r="AK115" s="385"/>
      <c r="AL115" s="385"/>
      <c r="AM115" s="9">
        <f>AI115*AJ115*'Carichi unitari'!$C$22</f>
        <v>34.912897875000006</v>
      </c>
      <c r="AN115" s="9"/>
      <c r="AO115" s="9">
        <f>AM115*$E$25</f>
        <v>45.38676723750001</v>
      </c>
      <c r="AP115" s="281">
        <f>AM115</f>
        <v>34.912897875000006</v>
      </c>
      <c r="AQ115" s="388"/>
      <c r="AR115" s="385"/>
      <c r="AS115" s="385"/>
      <c r="AT115" s="385"/>
      <c r="AU115" s="9"/>
      <c r="AV115" s="9"/>
      <c r="AW115" s="9"/>
      <c r="AX115" s="281"/>
    </row>
    <row r="116" spans="2:50" x14ac:dyDescent="0.3">
      <c r="B116" s="383" t="s">
        <v>247</v>
      </c>
      <c r="C116" s="388"/>
      <c r="D116" s="385"/>
      <c r="E116" s="385"/>
      <c r="F116" s="385"/>
      <c r="G116" s="9">
        <f>'Carichi unitari'!$C$23</f>
        <v>16.799999999999997</v>
      </c>
      <c r="H116" s="9"/>
      <c r="I116" s="9">
        <f>G116*$E$25</f>
        <v>21.839999999999996</v>
      </c>
      <c r="J116" s="281">
        <f>G116</f>
        <v>16.799999999999997</v>
      </c>
      <c r="K116" s="388"/>
      <c r="L116" s="385"/>
      <c r="M116" s="385"/>
      <c r="N116" s="385"/>
      <c r="O116" s="9">
        <f>'Carichi unitari'!$C$24</f>
        <v>14.400000000000002</v>
      </c>
      <c r="P116" s="9"/>
      <c r="Q116" s="9">
        <f>O116*$E$25</f>
        <v>18.720000000000002</v>
      </c>
      <c r="R116" s="281">
        <f>O116</f>
        <v>14.400000000000002</v>
      </c>
      <c r="S116" s="388"/>
      <c r="T116" s="385"/>
      <c r="U116" s="385"/>
      <c r="V116" s="385"/>
      <c r="W116" s="9">
        <f>'Carichi unitari'!$C$25</f>
        <v>13.125</v>
      </c>
      <c r="X116" s="9"/>
      <c r="Y116" s="9">
        <f>W116*$E$25</f>
        <v>17.0625</v>
      </c>
      <c r="Z116" s="281">
        <f>W116</f>
        <v>13.125</v>
      </c>
      <c r="AA116" s="388"/>
      <c r="AB116" s="385"/>
      <c r="AC116" s="385"/>
      <c r="AD116" s="385"/>
      <c r="AE116" s="9">
        <f>'Carichi unitari'!$C$25</f>
        <v>13.125</v>
      </c>
      <c r="AF116" s="9"/>
      <c r="AG116" s="9">
        <f>AE116*$E$25</f>
        <v>17.0625</v>
      </c>
      <c r="AH116" s="281">
        <f>AE116</f>
        <v>13.125</v>
      </c>
      <c r="AI116" s="388"/>
      <c r="AJ116" s="385"/>
      <c r="AK116" s="385"/>
      <c r="AL116" s="385"/>
      <c r="AM116" s="9">
        <f>'Carichi unitari'!$C$26</f>
        <v>11.700000000000001</v>
      </c>
      <c r="AN116" s="9"/>
      <c r="AO116" s="9">
        <f>AM116*$E$25</f>
        <v>15.210000000000003</v>
      </c>
      <c r="AP116" s="281">
        <f>AM116</f>
        <v>11.700000000000001</v>
      </c>
      <c r="AQ116" s="388"/>
      <c r="AR116" s="385"/>
      <c r="AS116" s="385"/>
      <c r="AT116" s="385"/>
      <c r="AU116" s="9">
        <f>'Carichi unitari'!$C$26</f>
        <v>11.700000000000001</v>
      </c>
      <c r="AV116" s="9"/>
      <c r="AW116" s="9">
        <f>AU116*$E$25</f>
        <v>15.210000000000003</v>
      </c>
      <c r="AX116" s="281">
        <f>AU116</f>
        <v>11.700000000000001</v>
      </c>
    </row>
    <row r="117" spans="2:50" ht="15" thickBot="1" x14ac:dyDescent="0.35">
      <c r="B117" s="384" t="s">
        <v>380</v>
      </c>
      <c r="C117" s="389"/>
      <c r="D117" s="390"/>
      <c r="E117" s="390"/>
      <c r="F117" s="390"/>
      <c r="G117" s="301"/>
      <c r="H117" s="301"/>
      <c r="I117" s="350">
        <f>SUM(I109:I116)</f>
        <v>411.4004158434862</v>
      </c>
      <c r="J117" s="352">
        <f>SUM(J109:J116)</f>
        <v>270.60801218729711</v>
      </c>
      <c r="K117" s="389"/>
      <c r="L117" s="390"/>
      <c r="M117" s="390"/>
      <c r="N117" s="390"/>
      <c r="O117" s="301"/>
      <c r="P117" s="301"/>
      <c r="Q117" s="350">
        <f>SUM(Q109:Q116)</f>
        <v>391.69309753620144</v>
      </c>
      <c r="R117" s="352">
        <f>SUM(R109:R116)</f>
        <v>257.28430579707793</v>
      </c>
      <c r="S117" s="389"/>
      <c r="T117" s="390"/>
      <c r="U117" s="390"/>
      <c r="V117" s="390"/>
      <c r="W117" s="301"/>
      <c r="X117" s="301"/>
      <c r="Y117" s="350">
        <f>SUM(Y109:Y116)</f>
        <v>390.03559753620141</v>
      </c>
      <c r="Z117" s="352">
        <f>SUM(Z109:Z116)</f>
        <v>256.00930579707796</v>
      </c>
      <c r="AA117" s="389"/>
      <c r="AB117" s="390"/>
      <c r="AC117" s="390"/>
      <c r="AD117" s="390"/>
      <c r="AE117" s="301"/>
      <c r="AF117" s="301"/>
      <c r="AG117" s="350">
        <f>SUM(AG109:AG116)</f>
        <v>382.9180975362014</v>
      </c>
      <c r="AH117" s="352">
        <f>SUM(AH109:AH116)</f>
        <v>250.53430579707793</v>
      </c>
      <c r="AI117" s="389"/>
      <c r="AJ117" s="390"/>
      <c r="AK117" s="390"/>
      <c r="AL117" s="390"/>
      <c r="AM117" s="301"/>
      <c r="AN117" s="301"/>
      <c r="AO117" s="350">
        <f>SUM(AO109:AO116)</f>
        <v>381.06559753620138</v>
      </c>
      <c r="AP117" s="352">
        <f>SUM(AP109:AP116)</f>
        <v>249.10930579707792</v>
      </c>
      <c r="AQ117" s="389"/>
      <c r="AR117" s="390"/>
      <c r="AS117" s="390"/>
      <c r="AT117" s="390"/>
      <c r="AU117" s="301"/>
      <c r="AV117" s="301"/>
      <c r="AW117" s="350">
        <f>SUM(AW109:AW116)</f>
        <v>328.56133029870136</v>
      </c>
      <c r="AX117" s="352">
        <f>SUM(AX109:AX116)</f>
        <v>208.72140792207793</v>
      </c>
    </row>
    <row r="118" spans="2:50" ht="16.2" thickBot="1" x14ac:dyDescent="0.35">
      <c r="C118" s="602" t="s">
        <v>381</v>
      </c>
      <c r="D118" s="603"/>
      <c r="E118" s="603"/>
      <c r="F118" s="603"/>
      <c r="G118" s="603"/>
      <c r="H118" s="603"/>
      <c r="I118" s="603"/>
      <c r="J118" s="603"/>
      <c r="K118" s="602" t="s">
        <v>382</v>
      </c>
      <c r="L118" s="603"/>
      <c r="M118" s="603"/>
      <c r="N118" s="603"/>
      <c r="O118" s="603"/>
      <c r="P118" s="603"/>
      <c r="Q118" s="603"/>
      <c r="R118" s="603"/>
      <c r="S118" s="602" t="s">
        <v>383</v>
      </c>
      <c r="T118" s="603"/>
      <c r="U118" s="603"/>
      <c r="V118" s="603"/>
      <c r="W118" s="603"/>
      <c r="X118" s="603"/>
      <c r="Y118" s="603"/>
      <c r="Z118" s="603"/>
      <c r="AA118" s="602" t="s">
        <v>384</v>
      </c>
      <c r="AB118" s="603"/>
      <c r="AC118" s="603"/>
      <c r="AD118" s="603"/>
      <c r="AE118" s="603"/>
      <c r="AF118" s="603"/>
      <c r="AG118" s="603"/>
      <c r="AH118" s="603"/>
      <c r="AI118" s="602" t="s">
        <v>385</v>
      </c>
      <c r="AJ118" s="603"/>
      <c r="AK118" s="603"/>
      <c r="AL118" s="603"/>
      <c r="AM118" s="603"/>
      <c r="AN118" s="603"/>
      <c r="AO118" s="603"/>
      <c r="AP118" s="603"/>
      <c r="AQ118" s="602" t="s">
        <v>386</v>
      </c>
      <c r="AR118" s="603"/>
      <c r="AS118" s="603"/>
      <c r="AT118" s="603"/>
      <c r="AU118" s="603"/>
      <c r="AV118" s="603"/>
      <c r="AW118" s="603"/>
      <c r="AX118" s="603"/>
    </row>
    <row r="119" spans="2:50" ht="46.2" thickBot="1" x14ac:dyDescent="0.35">
      <c r="B119" s="379" t="s">
        <v>377</v>
      </c>
      <c r="C119" s="313" t="s">
        <v>241</v>
      </c>
      <c r="D119" s="314" t="s">
        <v>242</v>
      </c>
      <c r="E119" s="313" t="s">
        <v>241</v>
      </c>
      <c r="F119" s="314" t="s">
        <v>242</v>
      </c>
      <c r="G119" s="315" t="s">
        <v>8</v>
      </c>
      <c r="H119" s="315" t="s">
        <v>9</v>
      </c>
      <c r="I119" s="316" t="s">
        <v>253</v>
      </c>
      <c r="J119" s="317" t="s">
        <v>254</v>
      </c>
      <c r="K119" s="313" t="s">
        <v>241</v>
      </c>
      <c r="L119" s="314" t="s">
        <v>242</v>
      </c>
      <c r="M119" s="313" t="s">
        <v>241</v>
      </c>
      <c r="N119" s="314" t="s">
        <v>242</v>
      </c>
      <c r="O119" s="315" t="s">
        <v>8</v>
      </c>
      <c r="P119" s="315" t="s">
        <v>9</v>
      </c>
      <c r="Q119" s="316" t="s">
        <v>253</v>
      </c>
      <c r="R119" s="317" t="s">
        <v>254</v>
      </c>
      <c r="S119" s="313" t="s">
        <v>241</v>
      </c>
      <c r="T119" s="314" t="s">
        <v>242</v>
      </c>
      <c r="U119" s="313" t="s">
        <v>241</v>
      </c>
      <c r="V119" s="314" t="s">
        <v>242</v>
      </c>
      <c r="W119" s="315" t="s">
        <v>8</v>
      </c>
      <c r="X119" s="315" t="s">
        <v>9</v>
      </c>
      <c r="Y119" s="316" t="s">
        <v>253</v>
      </c>
      <c r="Z119" s="317" t="s">
        <v>254</v>
      </c>
      <c r="AA119" s="313" t="s">
        <v>241</v>
      </c>
      <c r="AB119" s="314" t="s">
        <v>242</v>
      </c>
      <c r="AC119" s="313" t="s">
        <v>241</v>
      </c>
      <c r="AD119" s="314" t="s">
        <v>242</v>
      </c>
      <c r="AE119" s="315" t="s">
        <v>8</v>
      </c>
      <c r="AF119" s="315" t="s">
        <v>9</v>
      </c>
      <c r="AG119" s="316" t="s">
        <v>253</v>
      </c>
      <c r="AH119" s="317" t="s">
        <v>254</v>
      </c>
      <c r="AI119" s="313" t="s">
        <v>241</v>
      </c>
      <c r="AJ119" s="314" t="s">
        <v>242</v>
      </c>
      <c r="AK119" s="313" t="s">
        <v>241</v>
      </c>
      <c r="AL119" s="314" t="s">
        <v>242</v>
      </c>
      <c r="AM119" s="315" t="s">
        <v>8</v>
      </c>
      <c r="AN119" s="315" t="s">
        <v>9</v>
      </c>
      <c r="AO119" s="316" t="s">
        <v>253</v>
      </c>
      <c r="AP119" s="317" t="s">
        <v>254</v>
      </c>
      <c r="AQ119" s="313" t="s">
        <v>241</v>
      </c>
      <c r="AR119" s="314" t="s">
        <v>242</v>
      </c>
      <c r="AS119" s="313" t="s">
        <v>241</v>
      </c>
      <c r="AT119" s="314" t="s">
        <v>242</v>
      </c>
      <c r="AU119" s="315" t="s">
        <v>8</v>
      </c>
      <c r="AV119" s="315" t="s">
        <v>9</v>
      </c>
      <c r="AW119" s="316" t="s">
        <v>253</v>
      </c>
      <c r="AX119" s="317" t="s">
        <v>254</v>
      </c>
    </row>
    <row r="120" spans="2:50" x14ac:dyDescent="0.3">
      <c r="B120" s="380" t="s">
        <v>42</v>
      </c>
      <c r="C120" s="386">
        <v>2.5</v>
      </c>
      <c r="D120" s="387">
        <v>1</v>
      </c>
      <c r="E120" s="166">
        <v>2.5</v>
      </c>
      <c r="F120" s="422">
        <v>1</v>
      </c>
      <c r="G120" s="411">
        <f>('Carichi unitari'!$C$11+'Carichi unitari'!$C$10)*C120*D120*E120*F120</f>
        <v>34.387175324675326</v>
      </c>
      <c r="H120" s="357">
        <f>'Carichi unitari'!$D$10*C120*D120*E120*F120</f>
        <v>12.5</v>
      </c>
      <c r="I120" s="411">
        <f>G120*$E$25+H120*$F$25</f>
        <v>63.453327922077925</v>
      </c>
      <c r="J120" s="421">
        <f>G120+H120*$H$24</f>
        <v>38.137175324675326</v>
      </c>
      <c r="K120" s="386">
        <v>2.5</v>
      </c>
      <c r="L120" s="387">
        <v>1</v>
      </c>
      <c r="M120" s="166">
        <v>2.5</v>
      </c>
      <c r="N120" s="209">
        <v>1</v>
      </c>
      <c r="O120" s="378">
        <f>('Carichi unitari'!$C$11+'Carichi unitari'!$C$10)*K120*L120*M120*N120</f>
        <v>34.387175324675326</v>
      </c>
      <c r="P120" s="319">
        <f>'Carichi unitari'!$D$10*K120*L120*M120*N120</f>
        <v>12.5</v>
      </c>
      <c r="Q120" s="378">
        <f>O120*$E$25+P120*$F$25</f>
        <v>63.453327922077925</v>
      </c>
      <c r="R120" s="320">
        <f>O120+P120*$H$24</f>
        <v>38.137175324675326</v>
      </c>
      <c r="S120" s="386">
        <v>2.5</v>
      </c>
      <c r="T120" s="387">
        <v>1</v>
      </c>
      <c r="U120" s="166">
        <v>2.5</v>
      </c>
      <c r="V120" s="209">
        <v>1</v>
      </c>
      <c r="W120" s="378">
        <f>('Carichi unitari'!$C$11+'Carichi unitari'!$C$10)*S120*T120*U120*V120</f>
        <v>34.387175324675326</v>
      </c>
      <c r="X120" s="319">
        <f>'Carichi unitari'!$D$10*S120*T120*U120*V120</f>
        <v>12.5</v>
      </c>
      <c r="Y120" s="378">
        <f>W120*$E$25+X120*$F$25</f>
        <v>63.453327922077925</v>
      </c>
      <c r="Z120" s="320">
        <f>W120+X120*$H$24</f>
        <v>38.137175324675326</v>
      </c>
      <c r="AA120" s="386">
        <v>2.5</v>
      </c>
      <c r="AB120" s="387">
        <v>1</v>
      </c>
      <c r="AC120" s="166">
        <v>2.5</v>
      </c>
      <c r="AD120" s="209">
        <v>1.1000000000000001</v>
      </c>
      <c r="AE120" s="378">
        <f>('Carichi unitari'!$C$11+'Carichi unitari'!$C$10)*AA120*AB120*AC120*AD120</f>
        <v>37.825892857142861</v>
      </c>
      <c r="AF120" s="319">
        <f>'Carichi unitari'!$D$10*AA120*AB120*AC120*AD120</f>
        <v>13.750000000000002</v>
      </c>
      <c r="AG120" s="378">
        <f>AE120*$E$25+AF120*$F$25</f>
        <v>69.798660714285731</v>
      </c>
      <c r="AH120" s="320">
        <f>AE120+AF120*$H$24</f>
        <v>41.950892857142861</v>
      </c>
      <c r="AI120" s="386">
        <v>2.5</v>
      </c>
      <c r="AJ120" s="387">
        <v>1</v>
      </c>
      <c r="AK120" s="166">
        <v>2.5</v>
      </c>
      <c r="AL120" s="209">
        <v>1</v>
      </c>
      <c r="AM120" s="378">
        <f>('Carichi unitari'!$C$11+'Carichi unitari'!$C$10)*AI120*AJ120*AK120*AL120</f>
        <v>34.387175324675326</v>
      </c>
      <c r="AN120" s="319">
        <f>'Carichi unitari'!$D$10*AI120*AJ120*AK120*AL120</f>
        <v>12.5</v>
      </c>
      <c r="AO120" s="378">
        <f>AM120*$E$25+AN120*$F$25</f>
        <v>63.453327922077925</v>
      </c>
      <c r="AP120" s="320">
        <f>AM120+AN120*$H$24</f>
        <v>38.137175324675326</v>
      </c>
      <c r="AQ120" s="386">
        <v>2.5</v>
      </c>
      <c r="AR120" s="387">
        <v>1</v>
      </c>
      <c r="AS120" s="166">
        <v>2.5</v>
      </c>
      <c r="AT120" s="209">
        <v>1.1000000000000001</v>
      </c>
      <c r="AU120" s="378">
        <f>('Carichi unitari'!$C$11+'Carichi unitari'!$C$10)*AQ120*AR120*AS120*AT120</f>
        <v>37.825892857142861</v>
      </c>
      <c r="AV120" s="319">
        <f>'Carichi unitari'!$D$10*AQ120*AR120*AS120*AT120</f>
        <v>13.750000000000002</v>
      </c>
      <c r="AW120" s="378">
        <f>AU120*$E$25+AV120*$F$25</f>
        <v>69.798660714285731</v>
      </c>
      <c r="AX120" s="320">
        <f>AU120+AV120*$H$24</f>
        <v>41.950892857142861</v>
      </c>
    </row>
    <row r="121" spans="2:50" x14ac:dyDescent="0.3">
      <c r="B121" s="381" t="s">
        <v>42</v>
      </c>
      <c r="C121" s="37">
        <v>2.5</v>
      </c>
      <c r="D121" s="400">
        <v>1</v>
      </c>
      <c r="E121" s="50">
        <v>2.5</v>
      </c>
      <c r="F121" s="210">
        <v>1.2</v>
      </c>
      <c r="G121" s="412">
        <f>('Carichi unitari'!$C$11+'Carichi unitari'!$C$10)*C121*D121*E121*F121</f>
        <v>41.26461038961039</v>
      </c>
      <c r="H121" s="358">
        <f>'Carichi unitari'!$D$10*C121*D121*E121*F121</f>
        <v>15</v>
      </c>
      <c r="I121" s="412">
        <f>G121*$E$25+H121*$F$25</f>
        <v>76.143993506493501</v>
      </c>
      <c r="J121" s="417">
        <f>G121+H121*$H$24</f>
        <v>45.76461038961039</v>
      </c>
      <c r="K121" s="171">
        <v>2.5</v>
      </c>
      <c r="L121" s="50">
        <v>1</v>
      </c>
      <c r="M121" s="50">
        <v>2.5</v>
      </c>
      <c r="N121" s="210">
        <v>1.1000000000000001</v>
      </c>
      <c r="O121" s="329">
        <f>('Carichi unitari'!$C$11+'Carichi unitari'!$C$10)*K121*L121*M121*N121</f>
        <v>37.825892857142861</v>
      </c>
      <c r="P121" s="9">
        <f>'Carichi unitari'!$D$10*K121*L121*M121*N121</f>
        <v>13.750000000000002</v>
      </c>
      <c r="Q121" s="329">
        <f>O121*$E$25+P121*$F$25</f>
        <v>69.798660714285731</v>
      </c>
      <c r="R121" s="281">
        <f>O121+P121*$H$24</f>
        <v>41.950892857142861</v>
      </c>
      <c r="S121" s="171">
        <v>2.5</v>
      </c>
      <c r="T121" s="50">
        <v>1</v>
      </c>
      <c r="U121" s="50">
        <v>2.5</v>
      </c>
      <c r="V121" s="210">
        <v>1.1000000000000001</v>
      </c>
      <c r="W121" s="329">
        <f>('Carichi unitari'!$C$11+'Carichi unitari'!$C$10)*S121*T121*U121*V121</f>
        <v>37.825892857142861</v>
      </c>
      <c r="X121" s="9">
        <f>'Carichi unitari'!$D$10*S121*T121*U121*V121</f>
        <v>13.750000000000002</v>
      </c>
      <c r="Y121" s="329">
        <f>W121*$E$25+X121*$F$25</f>
        <v>69.798660714285731</v>
      </c>
      <c r="Z121" s="281">
        <f>W121+X121*$H$24</f>
        <v>41.950892857142861</v>
      </c>
      <c r="AA121" s="171">
        <v>2.5</v>
      </c>
      <c r="AB121" s="50">
        <v>1</v>
      </c>
      <c r="AC121" s="50">
        <v>2.5</v>
      </c>
      <c r="AD121" s="210">
        <v>1.1000000000000001</v>
      </c>
      <c r="AE121" s="329">
        <f>('Carichi unitari'!$C$11+'Carichi unitari'!$C$10)*AA121*AB121*AC121*AD121</f>
        <v>37.825892857142861</v>
      </c>
      <c r="AF121" s="9">
        <f>'Carichi unitari'!$D$10*AA121*AB121*AC121*AD121</f>
        <v>13.750000000000002</v>
      </c>
      <c r="AG121" s="329">
        <f>AE121*$E$25+AF121*$F$25</f>
        <v>69.798660714285731</v>
      </c>
      <c r="AH121" s="281">
        <f>AE121+AF121*$H$24</f>
        <v>41.950892857142861</v>
      </c>
      <c r="AI121" s="171">
        <v>2.5</v>
      </c>
      <c r="AJ121" s="50">
        <v>1</v>
      </c>
      <c r="AK121" s="50">
        <v>2.5</v>
      </c>
      <c r="AL121" s="210">
        <v>1.1000000000000001</v>
      </c>
      <c r="AM121" s="329">
        <f>('Carichi unitari'!$C$11+'Carichi unitari'!$C$10)*AI121*AJ121*AK121*AL121</f>
        <v>37.825892857142861</v>
      </c>
      <c r="AN121" s="9">
        <f>'Carichi unitari'!$D$10*AI121*AJ121*AK121*AL121</f>
        <v>13.750000000000002</v>
      </c>
      <c r="AO121" s="329">
        <f>AM121*$E$25+AN121*$F$25</f>
        <v>69.798660714285731</v>
      </c>
      <c r="AP121" s="281">
        <f>AM121+AN121*$H$24</f>
        <v>41.950892857142861</v>
      </c>
      <c r="AQ121" s="171">
        <v>2.5</v>
      </c>
      <c r="AR121" s="50">
        <v>1</v>
      </c>
      <c r="AS121" s="50">
        <v>2.5</v>
      </c>
      <c r="AT121" s="210">
        <v>1.1000000000000001</v>
      </c>
      <c r="AU121" s="329">
        <f>('Carichi unitari'!$C$11+'Carichi unitari'!$C$10)*AQ121*AR121*AS121*AT121</f>
        <v>37.825892857142861</v>
      </c>
      <c r="AV121" s="9">
        <f>'Carichi unitari'!$D$10*AQ121*AR121*AS121*AT121</f>
        <v>13.750000000000002</v>
      </c>
      <c r="AW121" s="329">
        <f>AU121*$E$25+AV121*$F$25</f>
        <v>69.798660714285731</v>
      </c>
      <c r="AX121" s="281">
        <f>AU121+AV121*$H$24</f>
        <v>41.950892857142861</v>
      </c>
    </row>
    <row r="122" spans="2:50" x14ac:dyDescent="0.3">
      <c r="B122" s="381" t="s">
        <v>42</v>
      </c>
      <c r="C122" s="37">
        <v>2.2999999999999998</v>
      </c>
      <c r="D122" s="400">
        <v>1</v>
      </c>
      <c r="E122" s="50">
        <v>2.5</v>
      </c>
      <c r="F122" s="210">
        <v>1.2</v>
      </c>
      <c r="G122" s="412">
        <f>('Carichi unitari'!$C$11+'Carichi unitari'!$C$10)*C122*D122*E122*F122</f>
        <v>37.963441558441559</v>
      </c>
      <c r="H122" s="358">
        <f>'Carichi unitari'!$D$10*C122*D122*E122*F122</f>
        <v>13.799999999999999</v>
      </c>
      <c r="I122" s="412">
        <f>G122*$E$25+H122*$F$25</f>
        <v>70.052474025974021</v>
      </c>
      <c r="J122" s="417">
        <f>G122+H122*$H$24</f>
        <v>42.10344155844156</v>
      </c>
      <c r="K122" s="171">
        <v>2.2999999999999998</v>
      </c>
      <c r="L122" s="50">
        <v>1</v>
      </c>
      <c r="M122" s="50">
        <v>2.5</v>
      </c>
      <c r="N122" s="210">
        <v>1.1000000000000001</v>
      </c>
      <c r="O122" s="329">
        <f>('Carichi unitari'!$C$11+'Carichi unitari'!$C$10)*K122*L122*M122*N122</f>
        <v>34.799821428571434</v>
      </c>
      <c r="P122" s="9">
        <f>'Carichi unitari'!$D$10*K122*L122*M122*N122</f>
        <v>12.65</v>
      </c>
      <c r="Q122" s="329">
        <f>O122*$E$25+P122*$F$25</f>
        <v>64.214767857142874</v>
      </c>
      <c r="R122" s="281">
        <f>O122+P122*$H$24</f>
        <v>38.594821428571436</v>
      </c>
      <c r="S122" s="171">
        <v>2.2999999999999998</v>
      </c>
      <c r="T122" s="50">
        <v>1</v>
      </c>
      <c r="U122" s="50">
        <v>2.5</v>
      </c>
      <c r="V122" s="210">
        <v>1.1000000000000001</v>
      </c>
      <c r="W122" s="329">
        <f>('Carichi unitari'!$C$11+'Carichi unitari'!$C$10)*S122*T122*U122*V122</f>
        <v>34.799821428571434</v>
      </c>
      <c r="X122" s="9">
        <f>'Carichi unitari'!$D$10*S122*T122*U122*V122</f>
        <v>12.65</v>
      </c>
      <c r="Y122" s="329">
        <f>W122*$E$25+X122*$F$25</f>
        <v>64.214767857142874</v>
      </c>
      <c r="Z122" s="281">
        <f>W122+X122*$H$24</f>
        <v>38.594821428571436</v>
      </c>
      <c r="AA122" s="171">
        <v>2.2999999999999998</v>
      </c>
      <c r="AB122" s="50">
        <v>1</v>
      </c>
      <c r="AC122" s="50">
        <v>2.5</v>
      </c>
      <c r="AD122" s="210">
        <v>1.1000000000000001</v>
      </c>
      <c r="AE122" s="329">
        <f>('Carichi unitari'!$C$11+'Carichi unitari'!$C$10)*AA122*AB122*AC122*AD122</f>
        <v>34.799821428571434</v>
      </c>
      <c r="AF122" s="9">
        <f>'Carichi unitari'!$D$10*AA122*AB122*AC122*AD122</f>
        <v>12.65</v>
      </c>
      <c r="AG122" s="329">
        <f>AE122*$E$25+AF122*$F$25</f>
        <v>64.214767857142874</v>
      </c>
      <c r="AH122" s="281">
        <f>AE122+AF122*$H$24</f>
        <v>38.594821428571436</v>
      </c>
      <c r="AI122" s="171">
        <v>2.2999999999999998</v>
      </c>
      <c r="AJ122" s="50">
        <v>1</v>
      </c>
      <c r="AK122" s="50">
        <v>2.5</v>
      </c>
      <c r="AL122" s="210">
        <v>1.1000000000000001</v>
      </c>
      <c r="AM122" s="329">
        <f>('Carichi unitari'!$C$11+'Carichi unitari'!$C$10)*AI122*AJ122*AK122*AL122</f>
        <v>34.799821428571434</v>
      </c>
      <c r="AN122" s="9">
        <f>'Carichi unitari'!$D$10*AI122*AJ122*AK122*AL122</f>
        <v>12.65</v>
      </c>
      <c r="AO122" s="329">
        <f>AM122*$E$25+AN122*$F$25</f>
        <v>64.214767857142874</v>
      </c>
      <c r="AP122" s="281">
        <f>AM122+AN122*$H$24</f>
        <v>38.594821428571436</v>
      </c>
      <c r="AQ122" s="171">
        <v>2.2999999999999998</v>
      </c>
      <c r="AR122" s="50">
        <v>1</v>
      </c>
      <c r="AS122" s="50">
        <v>2.5</v>
      </c>
      <c r="AT122" s="210">
        <v>1.1000000000000001</v>
      </c>
      <c r="AU122" s="329">
        <f>('Carichi unitari'!$C$11+'Carichi unitari'!$C$10)*AQ122*AR122*AS122*AT122</f>
        <v>34.799821428571434</v>
      </c>
      <c r="AV122" s="9">
        <f>'Carichi unitari'!$D$10*AQ122*AR122*AS122*AT122</f>
        <v>12.65</v>
      </c>
      <c r="AW122" s="329">
        <f>AU122*$E$25+AV122*$F$25</f>
        <v>64.214767857142874</v>
      </c>
      <c r="AX122" s="281">
        <f>AU122+AV122*$H$24</f>
        <v>38.594821428571436</v>
      </c>
    </row>
    <row r="123" spans="2:50" x14ac:dyDescent="0.3">
      <c r="B123" s="382" t="s">
        <v>7</v>
      </c>
      <c r="C123" s="388">
        <v>2.2999999999999998</v>
      </c>
      <c r="D123" s="385">
        <v>1</v>
      </c>
      <c r="E123" s="385">
        <v>2.5</v>
      </c>
      <c r="F123" s="303">
        <v>1.2</v>
      </c>
      <c r="G123" s="329">
        <f>C123*D123*E123*F123*'Carichi unitari'!$C$16</f>
        <v>48.632580000000004</v>
      </c>
      <c r="H123" s="9">
        <f>C123*D123*E123*F123*'Carichi unitari'!$D$14</f>
        <v>27.599999999999998</v>
      </c>
      <c r="I123" s="412">
        <f>G123*$E$25+H123*$F$25</f>
        <v>104.622354</v>
      </c>
      <c r="J123" s="417">
        <f>G123+H123*$I$24</f>
        <v>65.192580000000007</v>
      </c>
      <c r="K123" s="388">
        <v>2.2999999999999998</v>
      </c>
      <c r="L123" s="385">
        <v>1</v>
      </c>
      <c r="M123" s="385">
        <v>2.5</v>
      </c>
      <c r="N123" s="303">
        <v>1.2</v>
      </c>
      <c r="O123" s="329">
        <f>K123*L123*M123*N123*'Carichi unitari'!$C$16</f>
        <v>48.632580000000004</v>
      </c>
      <c r="P123" s="9">
        <f>K123*L123*M123*N123*'Carichi unitari'!$D$14</f>
        <v>27.599999999999998</v>
      </c>
      <c r="Q123" s="412">
        <f>O123*$E$25+P123*$F$25</f>
        <v>104.622354</v>
      </c>
      <c r="R123" s="417">
        <f>O123+P123*$I$24</f>
        <v>65.192580000000007</v>
      </c>
      <c r="S123" s="388">
        <v>2.2999999999999998</v>
      </c>
      <c r="T123" s="385">
        <v>1</v>
      </c>
      <c r="U123" s="385">
        <v>2.5</v>
      </c>
      <c r="V123" s="303">
        <v>1.2</v>
      </c>
      <c r="W123" s="329">
        <f>S123*T123*U123*V123*'Carichi unitari'!$C$16</f>
        <v>48.632580000000004</v>
      </c>
      <c r="X123" s="9">
        <f>S123*T123*U123*V123*'Carichi unitari'!$D$14</f>
        <v>27.599999999999998</v>
      </c>
      <c r="Y123" s="412">
        <f>W123*$E$25+X123*$F$25</f>
        <v>104.622354</v>
      </c>
      <c r="Z123" s="417">
        <f>W123+X123*$I$24</f>
        <v>65.192580000000007</v>
      </c>
      <c r="AA123" s="388">
        <v>2.2999999999999998</v>
      </c>
      <c r="AB123" s="385">
        <v>1</v>
      </c>
      <c r="AC123" s="385">
        <v>2.5</v>
      </c>
      <c r="AD123" s="303">
        <v>1.2</v>
      </c>
      <c r="AE123" s="329">
        <f>AA123*AB123*AC123*AD123*'Carichi unitari'!$C$16</f>
        <v>48.632580000000004</v>
      </c>
      <c r="AF123" s="9">
        <f>AA123*AB123*AC123*AD123*'Carichi unitari'!$D$14</f>
        <v>27.599999999999998</v>
      </c>
      <c r="AG123" s="412">
        <f>AE123*$E$25+AF123*$F$25</f>
        <v>104.622354</v>
      </c>
      <c r="AH123" s="417">
        <f>AE123+AF123*$I$24</f>
        <v>65.192580000000007</v>
      </c>
      <c r="AI123" s="388">
        <v>2.2999999999999998</v>
      </c>
      <c r="AJ123" s="385">
        <v>1</v>
      </c>
      <c r="AK123" s="385">
        <v>2.5</v>
      </c>
      <c r="AL123" s="303">
        <v>1.2</v>
      </c>
      <c r="AM123" s="329">
        <f>AI123*AJ123*AK123*AL123*'Carichi unitari'!$C$16</f>
        <v>48.632580000000004</v>
      </c>
      <c r="AN123" s="9">
        <f>AI123*AJ123*AK123*AL123*'Carichi unitari'!$D$14</f>
        <v>27.599999999999998</v>
      </c>
      <c r="AO123" s="412">
        <f>AM123*$E$25+AN123*$F$25</f>
        <v>104.622354</v>
      </c>
      <c r="AP123" s="417">
        <f>AM123+AN123*$I$24</f>
        <v>65.192580000000007</v>
      </c>
      <c r="AQ123" s="388">
        <v>2.2999999999999998</v>
      </c>
      <c r="AR123" s="385">
        <v>1</v>
      </c>
      <c r="AS123" s="385">
        <v>2.5</v>
      </c>
      <c r="AT123" s="303">
        <v>1.2</v>
      </c>
      <c r="AU123" s="329">
        <f>AQ123*AR123*AS123*AT123*'Carichi unitari'!$C$16</f>
        <v>48.632580000000004</v>
      </c>
      <c r="AV123" s="9">
        <f>AQ123*AR123*AS123*AT123*'Carichi unitari'!$D$14</f>
        <v>27.599999999999998</v>
      </c>
      <c r="AW123" s="412">
        <f>AU123*$E$25+AV123*$F$25</f>
        <v>104.622354</v>
      </c>
      <c r="AX123" s="417">
        <f>AU123+AV123*$I$24</f>
        <v>65.192580000000007</v>
      </c>
    </row>
    <row r="124" spans="2:50" x14ac:dyDescent="0.3">
      <c r="B124" s="383" t="s">
        <v>358</v>
      </c>
      <c r="C124" s="388">
        <v>4.8</v>
      </c>
      <c r="D124" s="385">
        <v>1</v>
      </c>
      <c r="E124" s="385">
        <v>2.5</v>
      </c>
      <c r="F124" s="385">
        <v>1</v>
      </c>
      <c r="G124" s="16">
        <f>(C124*D124+E124*F124)*'Carichi unitari'!$C$17</f>
        <v>36.41988961038961</v>
      </c>
      <c r="H124" s="16"/>
      <c r="I124" s="16">
        <f>G124*$E$25</f>
        <v>47.345856493506496</v>
      </c>
      <c r="J124" s="356">
        <f>G124</f>
        <v>36.41988961038961</v>
      </c>
      <c r="K124" s="388">
        <v>4.8</v>
      </c>
      <c r="L124" s="385">
        <v>1</v>
      </c>
      <c r="M124" s="385">
        <v>2.5</v>
      </c>
      <c r="N124" s="385">
        <v>1</v>
      </c>
      <c r="O124" s="16">
        <f>(K124*L124+M124*N124)*'Carichi unitari'!$C$17</f>
        <v>36.41988961038961</v>
      </c>
      <c r="P124" s="16"/>
      <c r="Q124" s="16">
        <f>O124*$E$25</f>
        <v>47.345856493506496</v>
      </c>
      <c r="R124" s="356">
        <f>O124</f>
        <v>36.41988961038961</v>
      </c>
      <c r="S124" s="388">
        <v>4.8</v>
      </c>
      <c r="T124" s="385">
        <v>1</v>
      </c>
      <c r="U124" s="385">
        <v>2.5</v>
      </c>
      <c r="V124" s="385">
        <v>1</v>
      </c>
      <c r="W124" s="16">
        <f>(S124*T124+U124*V124)*'Carichi unitari'!$C$17</f>
        <v>36.41988961038961</v>
      </c>
      <c r="X124" s="16"/>
      <c r="Y124" s="16">
        <f>W124*$E$25</f>
        <v>47.345856493506496</v>
      </c>
      <c r="Z124" s="356">
        <f>W124</f>
        <v>36.41988961038961</v>
      </c>
      <c r="AA124" s="388">
        <v>4.8</v>
      </c>
      <c r="AB124" s="385">
        <v>1</v>
      </c>
      <c r="AC124" s="385">
        <v>2.5</v>
      </c>
      <c r="AD124" s="385">
        <v>1</v>
      </c>
      <c r="AE124" s="16">
        <f>(AA124*AB124+AC124*AD124)*'Carichi unitari'!$C$18</f>
        <v>30.944889610389605</v>
      </c>
      <c r="AF124" s="16"/>
      <c r="AG124" s="16">
        <f>AE124*$E$25</f>
        <v>40.228356493506489</v>
      </c>
      <c r="AH124" s="356">
        <f>AE124</f>
        <v>30.944889610389605</v>
      </c>
      <c r="AI124" s="388">
        <v>4.8</v>
      </c>
      <c r="AJ124" s="385">
        <v>1</v>
      </c>
      <c r="AK124" s="385">
        <v>2.5</v>
      </c>
      <c r="AL124" s="385">
        <v>1</v>
      </c>
      <c r="AM124" s="16">
        <f>(AI124*AJ124+AK124*AL124)*'Carichi unitari'!$C$18</f>
        <v>30.944889610389605</v>
      </c>
      <c r="AN124" s="16"/>
      <c r="AO124" s="16">
        <f>AM124*$E$25</f>
        <v>40.228356493506489</v>
      </c>
      <c r="AP124" s="356">
        <f>AM124</f>
        <v>30.944889610389605</v>
      </c>
      <c r="AQ124" s="388">
        <v>4.8</v>
      </c>
      <c r="AR124" s="385">
        <v>1</v>
      </c>
      <c r="AS124" s="385">
        <v>2.5</v>
      </c>
      <c r="AT124" s="385">
        <v>1</v>
      </c>
      <c r="AU124" s="16">
        <f>(AQ124*AR124+AS124*AT124)*'Carichi unitari'!$C$19</f>
        <v>25.469889610389611</v>
      </c>
      <c r="AV124" s="16"/>
      <c r="AW124" s="16">
        <f>AU124*$E$25</f>
        <v>33.110856493506496</v>
      </c>
      <c r="AX124" s="356">
        <f>AU124</f>
        <v>25.469889610389611</v>
      </c>
    </row>
    <row r="125" spans="2:50" x14ac:dyDescent="0.3">
      <c r="B125" s="383" t="s">
        <v>359</v>
      </c>
      <c r="C125" s="388">
        <v>2.5</v>
      </c>
      <c r="D125" s="385">
        <v>1.2</v>
      </c>
      <c r="E125" s="385"/>
      <c r="F125" s="385"/>
      <c r="G125" s="9">
        <f>(C125*D125+E125*F125)*'Carichi unitari'!$C$21</f>
        <v>5.5404935064935055</v>
      </c>
      <c r="H125" s="9"/>
      <c r="I125" s="9">
        <f>G125*$E$25</f>
        <v>7.2026415584415577</v>
      </c>
      <c r="J125" s="281">
        <f>G125</f>
        <v>5.5404935064935055</v>
      </c>
      <c r="K125" s="388">
        <v>2.5</v>
      </c>
      <c r="L125" s="385">
        <v>1.1000000000000001</v>
      </c>
      <c r="M125" s="385"/>
      <c r="N125" s="385"/>
      <c r="O125" s="9">
        <f>(K125*L125+M125*N125)*'Carichi unitari'!$C$21</f>
        <v>5.0787857142857131</v>
      </c>
      <c r="P125" s="9"/>
      <c r="Q125" s="9">
        <f>O125*$E$25</f>
        <v>6.6024214285714269</v>
      </c>
      <c r="R125" s="281">
        <f>O125</f>
        <v>5.0787857142857131</v>
      </c>
      <c r="S125" s="388">
        <v>2.5</v>
      </c>
      <c r="T125" s="385">
        <v>1.1000000000000001</v>
      </c>
      <c r="U125" s="385"/>
      <c r="V125" s="385"/>
      <c r="W125" s="9">
        <f>(S125*T125+U125*V125)*'Carichi unitari'!$C$21</f>
        <v>5.0787857142857131</v>
      </c>
      <c r="X125" s="9"/>
      <c r="Y125" s="9">
        <f>W125*$E$25</f>
        <v>6.6024214285714269</v>
      </c>
      <c r="Z125" s="281">
        <f>W125</f>
        <v>5.0787857142857131</v>
      </c>
      <c r="AA125" s="388">
        <v>2.5</v>
      </c>
      <c r="AB125" s="385">
        <v>1.1000000000000001</v>
      </c>
      <c r="AC125" s="385"/>
      <c r="AD125" s="385"/>
      <c r="AE125" s="9">
        <f>(AA125*AB125+AC125*AD125)*'Carichi unitari'!$C$21</f>
        <v>5.0787857142857131</v>
      </c>
      <c r="AF125" s="9"/>
      <c r="AG125" s="9">
        <f>AE125*$E$25</f>
        <v>6.6024214285714269</v>
      </c>
      <c r="AH125" s="281">
        <f>AE125</f>
        <v>5.0787857142857131</v>
      </c>
      <c r="AI125" s="388">
        <v>2.5</v>
      </c>
      <c r="AJ125" s="385">
        <v>1.1000000000000001</v>
      </c>
      <c r="AK125" s="385"/>
      <c r="AL125" s="385"/>
      <c r="AM125" s="9">
        <f>(AI125*AJ125+AK125*AL125)*'Carichi unitari'!$C$21</f>
        <v>5.0787857142857131</v>
      </c>
      <c r="AN125" s="9"/>
      <c r="AO125" s="9">
        <f>AM125*$E$25</f>
        <v>6.6024214285714269</v>
      </c>
      <c r="AP125" s="281">
        <f>AM125</f>
        <v>5.0787857142857131</v>
      </c>
      <c r="AQ125" s="388">
        <v>2.5</v>
      </c>
      <c r="AR125" s="385">
        <v>1.1000000000000001</v>
      </c>
      <c r="AS125" s="385"/>
      <c r="AT125" s="385"/>
      <c r="AU125" s="9">
        <f>(AQ125*AR125+AS125*AT125)*'Carichi unitari'!$C$21</f>
        <v>5.0787857142857131</v>
      </c>
      <c r="AV125" s="9"/>
      <c r="AW125" s="9">
        <f>AU125*$E$25</f>
        <v>6.6024214285714269</v>
      </c>
      <c r="AX125" s="281">
        <f>AU125</f>
        <v>5.0787857142857131</v>
      </c>
    </row>
    <row r="126" spans="2:50" x14ac:dyDescent="0.3">
      <c r="B126" s="382" t="s">
        <v>357</v>
      </c>
      <c r="C126" s="388">
        <v>7.3</v>
      </c>
      <c r="D126" s="385">
        <v>0.9</v>
      </c>
      <c r="E126" s="385"/>
      <c r="F126" s="385"/>
      <c r="G126" s="9">
        <f>C126*D126*'Carichi unitari'!$C$22</f>
        <v>39.277010109375006</v>
      </c>
      <c r="H126" s="9"/>
      <c r="I126" s="9">
        <f>G126*$E$25</f>
        <v>51.060113142187511</v>
      </c>
      <c r="J126" s="281">
        <f>G126</f>
        <v>39.277010109375006</v>
      </c>
      <c r="K126" s="388">
        <v>7.3</v>
      </c>
      <c r="L126" s="385">
        <v>0.8</v>
      </c>
      <c r="M126" s="385"/>
      <c r="N126" s="385"/>
      <c r="O126" s="9">
        <f>K126*L126*'Carichi unitari'!$C$22</f>
        <v>34.912897875000006</v>
      </c>
      <c r="P126" s="9"/>
      <c r="Q126" s="9">
        <f>O126*$E$25</f>
        <v>45.38676723750001</v>
      </c>
      <c r="R126" s="281">
        <f>O126</f>
        <v>34.912897875000006</v>
      </c>
      <c r="S126" s="388">
        <v>7.3</v>
      </c>
      <c r="T126" s="385">
        <v>0.8</v>
      </c>
      <c r="U126" s="385"/>
      <c r="V126" s="385"/>
      <c r="W126" s="9">
        <f>S126*T126*'Carichi unitari'!$C$22</f>
        <v>34.912897875000006</v>
      </c>
      <c r="X126" s="9"/>
      <c r="Y126" s="9">
        <f>W126*$E$25</f>
        <v>45.38676723750001</v>
      </c>
      <c r="Z126" s="281">
        <f>W126</f>
        <v>34.912897875000006</v>
      </c>
      <c r="AA126" s="388">
        <v>7.3</v>
      </c>
      <c r="AB126" s="385">
        <v>0.8</v>
      </c>
      <c r="AC126" s="385"/>
      <c r="AD126" s="385"/>
      <c r="AE126" s="9">
        <f>AA126*AB126*'Carichi unitari'!$C$22</f>
        <v>34.912897875000006</v>
      </c>
      <c r="AF126" s="9"/>
      <c r="AG126" s="9">
        <f>AE126*$E$25</f>
        <v>45.38676723750001</v>
      </c>
      <c r="AH126" s="281">
        <f>AE126</f>
        <v>34.912897875000006</v>
      </c>
      <c r="AI126" s="388">
        <v>7.3</v>
      </c>
      <c r="AJ126" s="385">
        <v>0.8</v>
      </c>
      <c r="AK126" s="385"/>
      <c r="AL126" s="385"/>
      <c r="AM126" s="9">
        <f>AI126*AJ126*'Carichi unitari'!$C$22</f>
        <v>34.912897875000006</v>
      </c>
      <c r="AN126" s="9"/>
      <c r="AO126" s="9">
        <f>AM126*$E$25</f>
        <v>45.38676723750001</v>
      </c>
      <c r="AP126" s="281">
        <f>AM126</f>
        <v>34.912897875000006</v>
      </c>
      <c r="AQ126" s="388"/>
      <c r="AR126" s="385"/>
      <c r="AS126" s="385"/>
      <c r="AT126" s="385"/>
      <c r="AU126" s="9"/>
      <c r="AV126" s="9"/>
      <c r="AW126" s="9"/>
      <c r="AX126" s="281"/>
    </row>
    <row r="127" spans="2:50" x14ac:dyDescent="0.3">
      <c r="B127" s="383" t="s">
        <v>247</v>
      </c>
      <c r="C127" s="388"/>
      <c r="D127" s="385"/>
      <c r="E127" s="385"/>
      <c r="F127" s="385"/>
      <c r="G127" s="9">
        <f>'Carichi unitari'!$C$23</f>
        <v>16.799999999999997</v>
      </c>
      <c r="H127" s="9"/>
      <c r="I127" s="9">
        <f>G127*$E$25</f>
        <v>21.839999999999996</v>
      </c>
      <c r="J127" s="281">
        <f>G127</f>
        <v>16.799999999999997</v>
      </c>
      <c r="K127" s="388"/>
      <c r="L127" s="385"/>
      <c r="M127" s="385"/>
      <c r="N127" s="385"/>
      <c r="O127" s="9">
        <f>'Carichi unitari'!$C$24</f>
        <v>14.400000000000002</v>
      </c>
      <c r="P127" s="9"/>
      <c r="Q127" s="9">
        <f>O127*$E$25</f>
        <v>18.720000000000002</v>
      </c>
      <c r="R127" s="281">
        <f>O127</f>
        <v>14.400000000000002</v>
      </c>
      <c r="S127" s="388"/>
      <c r="T127" s="385"/>
      <c r="U127" s="385"/>
      <c r="V127" s="385"/>
      <c r="W127" s="9">
        <f>'Carichi unitari'!$C$25</f>
        <v>13.125</v>
      </c>
      <c r="X127" s="9"/>
      <c r="Y127" s="9">
        <f>W127*$E$25</f>
        <v>17.0625</v>
      </c>
      <c r="Z127" s="281">
        <f>W127</f>
        <v>13.125</v>
      </c>
      <c r="AA127" s="388"/>
      <c r="AB127" s="385"/>
      <c r="AC127" s="385"/>
      <c r="AD127" s="385"/>
      <c r="AE127" s="9">
        <f>'Carichi unitari'!$C$25</f>
        <v>13.125</v>
      </c>
      <c r="AF127" s="9"/>
      <c r="AG127" s="9">
        <f>AE127*$E$25</f>
        <v>17.0625</v>
      </c>
      <c r="AH127" s="281">
        <f>AE127</f>
        <v>13.125</v>
      </c>
      <c r="AI127" s="388"/>
      <c r="AJ127" s="385"/>
      <c r="AK127" s="385"/>
      <c r="AL127" s="385"/>
      <c r="AM127" s="9">
        <f>'Carichi unitari'!$C$26</f>
        <v>11.700000000000001</v>
      </c>
      <c r="AN127" s="9"/>
      <c r="AO127" s="9">
        <f>AM127*$E$25</f>
        <v>15.210000000000003</v>
      </c>
      <c r="AP127" s="281">
        <f>AM127</f>
        <v>11.700000000000001</v>
      </c>
      <c r="AQ127" s="388"/>
      <c r="AR127" s="385"/>
      <c r="AS127" s="385"/>
      <c r="AT127" s="385"/>
      <c r="AU127" s="9">
        <f>'Carichi unitari'!$C$26</f>
        <v>11.700000000000001</v>
      </c>
      <c r="AV127" s="9"/>
      <c r="AW127" s="9">
        <f>AU127*$E$25</f>
        <v>15.210000000000003</v>
      </c>
      <c r="AX127" s="281">
        <f>AU127</f>
        <v>11.700000000000001</v>
      </c>
    </row>
    <row r="128" spans="2:50" ht="15" thickBot="1" x14ac:dyDescent="0.35">
      <c r="B128" s="384" t="s">
        <v>380</v>
      </c>
      <c r="C128" s="389"/>
      <c r="D128" s="390"/>
      <c r="E128" s="390"/>
      <c r="F128" s="390"/>
      <c r="G128" s="301"/>
      <c r="H128" s="301"/>
      <c r="I128" s="350">
        <f>SUM(I120:I127)</f>
        <v>441.72076064868099</v>
      </c>
      <c r="J128" s="352">
        <f>SUM(J120:J127)</f>
        <v>289.23520049898542</v>
      </c>
      <c r="K128" s="389"/>
      <c r="L128" s="390"/>
      <c r="M128" s="390"/>
      <c r="N128" s="390"/>
      <c r="O128" s="301"/>
      <c r="P128" s="301"/>
      <c r="Q128" s="350">
        <f>SUM(Q120:Q127)</f>
        <v>420.14415565308445</v>
      </c>
      <c r="R128" s="352">
        <f>SUM(R120:R127)</f>
        <v>274.68704281006495</v>
      </c>
      <c r="S128" s="389"/>
      <c r="T128" s="390"/>
      <c r="U128" s="390"/>
      <c r="V128" s="390"/>
      <c r="W128" s="301"/>
      <c r="X128" s="301"/>
      <c r="Y128" s="350">
        <f>SUM(Y120:Y127)</f>
        <v>418.48665565308443</v>
      </c>
      <c r="Z128" s="352">
        <f>SUM(Z120:Z127)</f>
        <v>273.41204281006497</v>
      </c>
      <c r="AA128" s="389"/>
      <c r="AB128" s="390"/>
      <c r="AC128" s="390"/>
      <c r="AD128" s="390"/>
      <c r="AE128" s="301"/>
      <c r="AF128" s="301"/>
      <c r="AG128" s="350">
        <f>SUM(AG120:AG127)</f>
        <v>417.71448844529226</v>
      </c>
      <c r="AH128" s="352">
        <f>SUM(AH120:AH127)</f>
        <v>271.75076034253249</v>
      </c>
      <c r="AI128" s="389"/>
      <c r="AJ128" s="390"/>
      <c r="AK128" s="390"/>
      <c r="AL128" s="390"/>
      <c r="AM128" s="301"/>
      <c r="AN128" s="301"/>
      <c r="AO128" s="350">
        <f>SUM(AO120:AO127)</f>
        <v>409.5166556530844</v>
      </c>
      <c r="AP128" s="352">
        <f>SUM(AP120:AP127)</f>
        <v>266.51204281006494</v>
      </c>
      <c r="AQ128" s="389"/>
      <c r="AR128" s="390"/>
      <c r="AS128" s="390"/>
      <c r="AT128" s="390"/>
      <c r="AU128" s="301"/>
      <c r="AV128" s="301"/>
      <c r="AW128" s="350">
        <f>SUM(AW120:AW127)</f>
        <v>363.35772120779222</v>
      </c>
      <c r="AX128" s="352">
        <f>SUM(AX120:AX127)</f>
        <v>229.93786246753248</v>
      </c>
    </row>
    <row r="129" spans="2:50" ht="16.2" thickBot="1" x14ac:dyDescent="0.35">
      <c r="C129" s="602" t="s">
        <v>381</v>
      </c>
      <c r="D129" s="603"/>
      <c r="E129" s="603"/>
      <c r="F129" s="603"/>
      <c r="G129" s="603"/>
      <c r="H129" s="603"/>
      <c r="I129" s="603"/>
      <c r="J129" s="603"/>
      <c r="K129" s="602" t="s">
        <v>382</v>
      </c>
      <c r="L129" s="603"/>
      <c r="M129" s="603"/>
      <c r="N129" s="603"/>
      <c r="O129" s="603"/>
      <c r="P129" s="603"/>
      <c r="Q129" s="603"/>
      <c r="R129" s="603"/>
      <c r="S129" s="602" t="s">
        <v>383</v>
      </c>
      <c r="T129" s="603"/>
      <c r="U129" s="603"/>
      <c r="V129" s="603"/>
      <c r="W129" s="603"/>
      <c r="X129" s="603"/>
      <c r="Y129" s="603"/>
      <c r="Z129" s="603"/>
      <c r="AA129" s="602" t="s">
        <v>384</v>
      </c>
      <c r="AB129" s="603"/>
      <c r="AC129" s="603"/>
      <c r="AD129" s="603"/>
      <c r="AE129" s="603"/>
      <c r="AF129" s="603"/>
      <c r="AG129" s="603"/>
      <c r="AH129" s="603"/>
      <c r="AI129" s="602" t="s">
        <v>385</v>
      </c>
      <c r="AJ129" s="603"/>
      <c r="AK129" s="603"/>
      <c r="AL129" s="603"/>
      <c r="AM129" s="603"/>
      <c r="AN129" s="603"/>
      <c r="AO129" s="603"/>
      <c r="AP129" s="603"/>
      <c r="AQ129" s="602" t="s">
        <v>386</v>
      </c>
      <c r="AR129" s="603"/>
      <c r="AS129" s="603"/>
      <c r="AT129" s="603"/>
      <c r="AU129" s="603"/>
      <c r="AV129" s="603"/>
      <c r="AW129" s="603"/>
      <c r="AX129" s="603"/>
    </row>
    <row r="130" spans="2:50" ht="46.2" thickBot="1" x14ac:dyDescent="0.35">
      <c r="B130" s="379" t="s">
        <v>387</v>
      </c>
      <c r="C130" s="313" t="s">
        <v>241</v>
      </c>
      <c r="D130" s="314" t="s">
        <v>242</v>
      </c>
      <c r="E130" s="313" t="s">
        <v>241</v>
      </c>
      <c r="F130" s="314" t="s">
        <v>242</v>
      </c>
      <c r="G130" s="315" t="s">
        <v>8</v>
      </c>
      <c r="H130" s="315" t="s">
        <v>9</v>
      </c>
      <c r="I130" s="316" t="s">
        <v>253</v>
      </c>
      <c r="J130" s="317" t="s">
        <v>254</v>
      </c>
      <c r="K130" s="313" t="s">
        <v>241</v>
      </c>
      <c r="L130" s="314" t="s">
        <v>242</v>
      </c>
      <c r="M130" s="313" t="s">
        <v>241</v>
      </c>
      <c r="N130" s="314" t="s">
        <v>242</v>
      </c>
      <c r="O130" s="315" t="s">
        <v>8</v>
      </c>
      <c r="P130" s="315" t="s">
        <v>9</v>
      </c>
      <c r="Q130" s="316" t="s">
        <v>253</v>
      </c>
      <c r="R130" s="317" t="s">
        <v>254</v>
      </c>
      <c r="S130" s="313" t="s">
        <v>241</v>
      </c>
      <c r="T130" s="314" t="s">
        <v>242</v>
      </c>
      <c r="U130" s="313" t="s">
        <v>241</v>
      </c>
      <c r="V130" s="314" t="s">
        <v>242</v>
      </c>
      <c r="W130" s="315" t="s">
        <v>8</v>
      </c>
      <c r="X130" s="315" t="s">
        <v>9</v>
      </c>
      <c r="Y130" s="316" t="s">
        <v>253</v>
      </c>
      <c r="Z130" s="317" t="s">
        <v>254</v>
      </c>
      <c r="AA130" s="313" t="s">
        <v>241</v>
      </c>
      <c r="AB130" s="314" t="s">
        <v>242</v>
      </c>
      <c r="AC130" s="313" t="s">
        <v>241</v>
      </c>
      <c r="AD130" s="314" t="s">
        <v>242</v>
      </c>
      <c r="AE130" s="315" t="s">
        <v>8</v>
      </c>
      <c r="AF130" s="315" t="s">
        <v>9</v>
      </c>
      <c r="AG130" s="316" t="s">
        <v>253</v>
      </c>
      <c r="AH130" s="317" t="s">
        <v>254</v>
      </c>
      <c r="AI130" s="313" t="s">
        <v>241</v>
      </c>
      <c r="AJ130" s="314" t="s">
        <v>242</v>
      </c>
      <c r="AK130" s="313" t="s">
        <v>241</v>
      </c>
      <c r="AL130" s="314" t="s">
        <v>242</v>
      </c>
      <c r="AM130" s="315" t="s">
        <v>8</v>
      </c>
      <c r="AN130" s="315" t="s">
        <v>9</v>
      </c>
      <c r="AO130" s="316" t="s">
        <v>253</v>
      </c>
      <c r="AP130" s="317" t="s">
        <v>254</v>
      </c>
      <c r="AQ130" s="313" t="s">
        <v>241</v>
      </c>
      <c r="AR130" s="314" t="s">
        <v>242</v>
      </c>
      <c r="AS130" s="313" t="s">
        <v>241</v>
      </c>
      <c r="AT130" s="314" t="s">
        <v>242</v>
      </c>
      <c r="AU130" s="315" t="s">
        <v>8</v>
      </c>
      <c r="AV130" s="315" t="s">
        <v>9</v>
      </c>
      <c r="AW130" s="316" t="s">
        <v>253</v>
      </c>
      <c r="AX130" s="317" t="s">
        <v>254</v>
      </c>
    </row>
    <row r="131" spans="2:50" x14ac:dyDescent="0.3">
      <c r="B131" s="380" t="s">
        <v>42</v>
      </c>
      <c r="C131" s="386">
        <v>2</v>
      </c>
      <c r="D131" s="166">
        <v>1.2</v>
      </c>
      <c r="E131" s="166">
        <v>2.5</v>
      </c>
      <c r="F131" s="209">
        <v>1</v>
      </c>
      <c r="G131" s="411">
        <f>('Carichi unitari'!$C$11+'Carichi unitari'!$C$10)*C131*D131*E131*F131</f>
        <v>33.011688311688317</v>
      </c>
      <c r="H131" s="357">
        <f>'Carichi unitari'!$D$10*C131*D131*E131*F131</f>
        <v>12</v>
      </c>
      <c r="I131" s="411">
        <f>G131*$E$25+H131*$F$25</f>
        <v>60.915194805194815</v>
      </c>
      <c r="J131" s="421">
        <f>G131+H131*$H$24</f>
        <v>36.611688311688319</v>
      </c>
      <c r="K131" s="165">
        <v>2</v>
      </c>
      <c r="L131" s="166">
        <v>1.1000000000000001</v>
      </c>
      <c r="M131" s="166">
        <v>2.5</v>
      </c>
      <c r="N131" s="209">
        <v>1</v>
      </c>
      <c r="O131" s="411">
        <f>('Carichi unitari'!$C$11+'Carichi unitari'!$C$10)*K131*L131*M131*N131</f>
        <v>30.26071428571429</v>
      </c>
      <c r="P131" s="319">
        <f>'Carichi unitari'!$D$10*K131*L131*M131*N131</f>
        <v>11</v>
      </c>
      <c r="Q131" s="378">
        <f>O131*$E$25+P131*$F$25</f>
        <v>55.838928571428575</v>
      </c>
      <c r="R131" s="320">
        <f>O131+P131*$H$24</f>
        <v>33.56071428571429</v>
      </c>
      <c r="S131" s="165">
        <v>2</v>
      </c>
      <c r="T131" s="166">
        <v>1.1000000000000001</v>
      </c>
      <c r="U131" s="166">
        <v>2.5</v>
      </c>
      <c r="V131" s="209">
        <v>1</v>
      </c>
      <c r="W131" s="378">
        <f>('Carichi unitari'!$C$11+'Carichi unitari'!$C$10)*S131*T131*U131*V131</f>
        <v>30.26071428571429</v>
      </c>
      <c r="X131" s="319">
        <f>'Carichi unitari'!$D$10*S131*T131*U131*V131</f>
        <v>11</v>
      </c>
      <c r="Y131" s="378">
        <f>W131*$E$25+X131*$F$25</f>
        <v>55.838928571428575</v>
      </c>
      <c r="Z131" s="320">
        <f>W131+X131*$H$24</f>
        <v>33.56071428571429</v>
      </c>
      <c r="AA131" s="165">
        <v>2</v>
      </c>
      <c r="AB131" s="166">
        <v>1.1000000000000001</v>
      </c>
      <c r="AC131" s="166">
        <v>2.5</v>
      </c>
      <c r="AD131" s="209">
        <v>1</v>
      </c>
      <c r="AE131" s="378">
        <f>('Carichi unitari'!$C$11+'Carichi unitari'!$C$10)*AA131*AB131*AC131*AD131</f>
        <v>30.26071428571429</v>
      </c>
      <c r="AF131" s="319">
        <f>'Carichi unitari'!$D$10*AA131*AB131*AC131*AD131</f>
        <v>11</v>
      </c>
      <c r="AG131" s="378">
        <f>AE131*$E$25+AF131*$F$25</f>
        <v>55.838928571428575</v>
      </c>
      <c r="AH131" s="320">
        <f>AE131+AF131*$H$24</f>
        <v>33.56071428571429</v>
      </c>
      <c r="AI131" s="165">
        <v>2</v>
      </c>
      <c r="AJ131" s="166">
        <v>1.1000000000000001</v>
      </c>
      <c r="AK131" s="166">
        <v>2.5</v>
      </c>
      <c r="AL131" s="209">
        <v>1</v>
      </c>
      <c r="AM131" s="378">
        <f>('Carichi unitari'!$C$11+'Carichi unitari'!$C$10)*AI131*AJ131*AK131*AL131</f>
        <v>30.26071428571429</v>
      </c>
      <c r="AN131" s="319">
        <f>'Carichi unitari'!$D$10*AI131*AJ131*AK131*AL131</f>
        <v>11</v>
      </c>
      <c r="AO131" s="378">
        <f>AM131*$E$25+AN131*$F$25</f>
        <v>55.838928571428575</v>
      </c>
      <c r="AP131" s="320">
        <f>AM131+AN131*$H$24</f>
        <v>33.56071428571429</v>
      </c>
      <c r="AQ131" s="165">
        <v>2</v>
      </c>
      <c r="AR131" s="166">
        <v>1.1000000000000001</v>
      </c>
      <c r="AS131" s="166">
        <v>2.5</v>
      </c>
      <c r="AT131" s="209">
        <v>1</v>
      </c>
      <c r="AU131" s="378">
        <f>('Carichi unitari'!$C$11+'Carichi unitari'!$C$10)*AQ131*AR131*AS131*AT131</f>
        <v>30.26071428571429</v>
      </c>
      <c r="AV131" s="319">
        <f>'Carichi unitari'!$D$10*AQ131*AR131*AS131*AT131</f>
        <v>11</v>
      </c>
      <c r="AW131" s="378">
        <f>AU131*$E$25+AV131*$F$25</f>
        <v>55.838928571428575</v>
      </c>
      <c r="AX131" s="320">
        <f>AU131+AV131*$H$24</f>
        <v>33.56071428571429</v>
      </c>
    </row>
    <row r="132" spans="2:50" x14ac:dyDescent="0.3">
      <c r="B132" s="381" t="s">
        <v>42</v>
      </c>
      <c r="C132" s="37">
        <v>2.5</v>
      </c>
      <c r="D132" s="50">
        <v>1.2</v>
      </c>
      <c r="E132" s="50">
        <v>2</v>
      </c>
      <c r="F132" s="210">
        <v>1.2</v>
      </c>
      <c r="G132" s="412">
        <f>('Carichi unitari'!$C$11+'Carichi unitari'!$C$10)*C132*D132*E132*F132</f>
        <v>39.614025974025971</v>
      </c>
      <c r="H132" s="358">
        <f>'Carichi unitari'!$D$10*C132*D132*E132*F132</f>
        <v>14.399999999999999</v>
      </c>
      <c r="I132" s="412">
        <f>G132*$E$25+H132*$F$25</f>
        <v>73.098233766233761</v>
      </c>
      <c r="J132" s="417">
        <f>G132+H132*$H$24</f>
        <v>43.934025974025971</v>
      </c>
      <c r="K132" s="171">
        <v>2.5</v>
      </c>
      <c r="L132" s="50">
        <v>1.2</v>
      </c>
      <c r="M132" s="50">
        <v>2</v>
      </c>
      <c r="N132" s="210">
        <v>1.2</v>
      </c>
      <c r="O132" s="412">
        <f>('Carichi unitari'!$C$11+'Carichi unitari'!$C$10)*K132*L132*M132*N132</f>
        <v>39.614025974025971</v>
      </c>
      <c r="P132" s="9">
        <f>'Carichi unitari'!$D$10*K132*L132*M132*N132</f>
        <v>14.399999999999999</v>
      </c>
      <c r="Q132" s="329">
        <f>O132*$E$25+P132*$F$25</f>
        <v>73.098233766233761</v>
      </c>
      <c r="R132" s="281">
        <f>O132+P132*$H$24</f>
        <v>43.934025974025971</v>
      </c>
      <c r="S132" s="171">
        <v>2.5</v>
      </c>
      <c r="T132" s="50">
        <v>1.2</v>
      </c>
      <c r="U132" s="50">
        <v>2</v>
      </c>
      <c r="V132" s="210">
        <v>1.2</v>
      </c>
      <c r="W132" s="329">
        <f>('Carichi unitari'!$C$11+'Carichi unitari'!$C$10)*S132*T132*U132*V132</f>
        <v>39.614025974025971</v>
      </c>
      <c r="X132" s="9">
        <f>'Carichi unitari'!$D$10*S132*T132*U132*V132</f>
        <v>14.399999999999999</v>
      </c>
      <c r="Y132" s="329">
        <f>W132*$E$25+X132*$F$25</f>
        <v>73.098233766233761</v>
      </c>
      <c r="Z132" s="281">
        <f>W132+X132*$H$24</f>
        <v>43.934025974025971</v>
      </c>
      <c r="AA132" s="171">
        <v>2.5</v>
      </c>
      <c r="AB132" s="50">
        <v>1.2</v>
      </c>
      <c r="AC132" s="50">
        <v>2</v>
      </c>
      <c r="AD132" s="210">
        <v>1.2</v>
      </c>
      <c r="AE132" s="329">
        <f>('Carichi unitari'!$C$11+'Carichi unitari'!$C$10)*AA132*AB132*AC132*AD132</f>
        <v>39.614025974025971</v>
      </c>
      <c r="AF132" s="9">
        <f>'Carichi unitari'!$D$10*AA132*AB132*AC132*AD132</f>
        <v>14.399999999999999</v>
      </c>
      <c r="AG132" s="329">
        <f>AE132*$E$25+AF132*$F$25</f>
        <v>73.098233766233761</v>
      </c>
      <c r="AH132" s="281">
        <f>AE132+AF132*$H$24</f>
        <v>43.934025974025971</v>
      </c>
      <c r="AI132" s="171">
        <v>2.5</v>
      </c>
      <c r="AJ132" s="50">
        <v>1.2</v>
      </c>
      <c r="AK132" s="50">
        <v>2</v>
      </c>
      <c r="AL132" s="210">
        <v>1.2</v>
      </c>
      <c r="AM132" s="329">
        <f>('Carichi unitari'!$C$11+'Carichi unitari'!$C$10)*AI132*AJ132*AK132*AL132</f>
        <v>39.614025974025971</v>
      </c>
      <c r="AN132" s="9">
        <f>'Carichi unitari'!$D$10*AI132*AJ132*AK132*AL132</f>
        <v>14.399999999999999</v>
      </c>
      <c r="AO132" s="329">
        <f>AM132*$E$25+AN132*$F$25</f>
        <v>73.098233766233761</v>
      </c>
      <c r="AP132" s="281">
        <f>AM132+AN132*$H$24</f>
        <v>43.934025974025971</v>
      </c>
      <c r="AQ132" s="171">
        <v>2.5</v>
      </c>
      <c r="AR132" s="50">
        <v>1.2</v>
      </c>
      <c r="AS132" s="50">
        <v>2</v>
      </c>
      <c r="AT132" s="210">
        <v>1.2</v>
      </c>
      <c r="AU132" s="329">
        <f>('Carichi unitari'!$C$11+'Carichi unitari'!$C$10)*AQ132*AR132*AS132*AT132</f>
        <v>39.614025974025971</v>
      </c>
      <c r="AV132" s="9">
        <f>'Carichi unitari'!$D$10*AQ132*AR132*AS132*AT132</f>
        <v>14.399999999999999</v>
      </c>
      <c r="AW132" s="329">
        <f>AU132*$E$25+AV132*$F$25</f>
        <v>73.098233766233761</v>
      </c>
      <c r="AX132" s="281">
        <f>AU132+AV132*$H$24</f>
        <v>43.934025974025971</v>
      </c>
    </row>
    <row r="133" spans="2:50" x14ac:dyDescent="0.3">
      <c r="B133" s="381" t="s">
        <v>42</v>
      </c>
      <c r="C133" s="37">
        <v>2.5</v>
      </c>
      <c r="D133" s="50">
        <v>1</v>
      </c>
      <c r="E133" s="50">
        <v>2.5</v>
      </c>
      <c r="F133" s="210">
        <v>1.2</v>
      </c>
      <c r="G133" s="412">
        <f>('Carichi unitari'!$C$11+'Carichi unitari'!$C$10)*C133*D133*E133*F133</f>
        <v>41.26461038961039</v>
      </c>
      <c r="H133" s="358">
        <f>'Carichi unitari'!$D$10*C133*D133*E133*F133</f>
        <v>15</v>
      </c>
      <c r="I133" s="412">
        <f>G133*$E$25+H133*$F$25</f>
        <v>76.143993506493501</v>
      </c>
      <c r="J133" s="417">
        <f>G133+H133*$H$24</f>
        <v>45.76461038961039</v>
      </c>
      <c r="K133" s="171">
        <v>2.5</v>
      </c>
      <c r="L133" s="50">
        <v>1</v>
      </c>
      <c r="M133" s="50">
        <v>2.5</v>
      </c>
      <c r="N133" s="210">
        <v>1.1000000000000001</v>
      </c>
      <c r="O133" s="412">
        <f>('Carichi unitari'!$C$11+'Carichi unitari'!$C$10)*K133*L133*M133*N133</f>
        <v>37.825892857142861</v>
      </c>
      <c r="P133" s="9">
        <f>'Carichi unitari'!$D$10*K133*L133*M133*N133</f>
        <v>13.750000000000002</v>
      </c>
      <c r="Q133" s="329">
        <f>O133*$E$25+P133*$F$25</f>
        <v>69.798660714285731</v>
      </c>
      <c r="R133" s="281">
        <f>O133+P133*$H$24</f>
        <v>41.950892857142861</v>
      </c>
      <c r="S133" s="171">
        <v>2.5</v>
      </c>
      <c r="T133" s="50">
        <v>1</v>
      </c>
      <c r="U133" s="50">
        <v>2.5</v>
      </c>
      <c r="V133" s="210">
        <v>1.1000000000000001</v>
      </c>
      <c r="W133" s="329">
        <f>('Carichi unitari'!$C$11+'Carichi unitari'!$C$10)*S133*T133*U133*V133</f>
        <v>37.825892857142861</v>
      </c>
      <c r="X133" s="9">
        <f>'Carichi unitari'!$D$10*S133*T133*U133*V133</f>
        <v>13.750000000000002</v>
      </c>
      <c r="Y133" s="329">
        <f>W133*$E$25+X133*$F$25</f>
        <v>69.798660714285731</v>
      </c>
      <c r="Z133" s="281">
        <f>W133+X133*$H$24</f>
        <v>41.950892857142861</v>
      </c>
      <c r="AA133" s="171">
        <v>2.5</v>
      </c>
      <c r="AB133" s="50">
        <v>1</v>
      </c>
      <c r="AC133" s="50">
        <v>2.5</v>
      </c>
      <c r="AD133" s="210">
        <v>1.1000000000000001</v>
      </c>
      <c r="AE133" s="329">
        <f>('Carichi unitari'!$C$11+'Carichi unitari'!$C$10)*AA133*AB133*AC133*AD133</f>
        <v>37.825892857142861</v>
      </c>
      <c r="AF133" s="9">
        <f>'Carichi unitari'!$D$10*AA133*AB133*AC133*AD133</f>
        <v>13.750000000000002</v>
      </c>
      <c r="AG133" s="329">
        <f>AE133*$E$25+AF133*$F$25</f>
        <v>69.798660714285731</v>
      </c>
      <c r="AH133" s="281">
        <f>AE133+AF133*$H$24</f>
        <v>41.950892857142861</v>
      </c>
      <c r="AI133" s="171">
        <v>2.5</v>
      </c>
      <c r="AJ133" s="50">
        <v>1</v>
      </c>
      <c r="AK133" s="50">
        <v>2.5</v>
      </c>
      <c r="AL133" s="210">
        <v>1.1000000000000001</v>
      </c>
      <c r="AM133" s="329">
        <f>('Carichi unitari'!$C$11+'Carichi unitari'!$C$10)*AI133*AJ133*AK133*AL133</f>
        <v>37.825892857142861</v>
      </c>
      <c r="AN133" s="9">
        <f>'Carichi unitari'!$D$10*AI133*AJ133*AK133*AL133</f>
        <v>13.750000000000002</v>
      </c>
      <c r="AO133" s="329">
        <f>AM133*$E$25+AN133*$F$25</f>
        <v>69.798660714285731</v>
      </c>
      <c r="AP133" s="281">
        <f>AM133+AN133*$H$24</f>
        <v>41.950892857142861</v>
      </c>
      <c r="AQ133" s="171">
        <v>2.5</v>
      </c>
      <c r="AR133" s="50">
        <v>1</v>
      </c>
      <c r="AS133" s="50">
        <v>2.5</v>
      </c>
      <c r="AT133" s="210">
        <v>1.1000000000000001</v>
      </c>
      <c r="AU133" s="329">
        <f>('Carichi unitari'!$C$11+'Carichi unitari'!$C$10)*AQ133*AR133*AS133*AT133</f>
        <v>37.825892857142861</v>
      </c>
      <c r="AV133" s="9">
        <f>'Carichi unitari'!$D$10*AQ133*AR133*AS133*AT133</f>
        <v>13.750000000000002</v>
      </c>
      <c r="AW133" s="329">
        <f>AU133*$E$25+AV133*$F$25</f>
        <v>69.798660714285731</v>
      </c>
      <c r="AX133" s="281">
        <f>AU133+AV133*$H$24</f>
        <v>41.950892857142861</v>
      </c>
    </row>
    <row r="134" spans="2:50" x14ac:dyDescent="0.3">
      <c r="B134" s="382" t="s">
        <v>42</v>
      </c>
      <c r="C134" s="388">
        <v>2.5</v>
      </c>
      <c r="D134" s="414">
        <v>1</v>
      </c>
      <c r="E134" s="414">
        <v>2.5</v>
      </c>
      <c r="F134" s="424">
        <v>1</v>
      </c>
      <c r="G134" s="412">
        <f>('Carichi unitari'!$C$11+'Carichi unitari'!$C$10)*C134*D134*E134*F134</f>
        <v>34.387175324675326</v>
      </c>
      <c r="H134" s="358">
        <f>'Carichi unitari'!$D$10*C134*D134*E134*F134</f>
        <v>12.5</v>
      </c>
      <c r="I134" s="412">
        <f>G134*$E$25+H134*$F$25</f>
        <v>63.453327922077925</v>
      </c>
      <c r="J134" s="417">
        <f>G134+H134*$H$24</f>
        <v>38.137175324675326</v>
      </c>
      <c r="K134" s="413">
        <v>2.5</v>
      </c>
      <c r="L134" s="414">
        <v>1</v>
      </c>
      <c r="M134" s="414">
        <v>2.5</v>
      </c>
      <c r="N134" s="424">
        <v>1</v>
      </c>
      <c r="O134" s="412">
        <f>('Carichi unitari'!$C$11+'Carichi unitari'!$C$10)*K134*L134*M134*N134</f>
        <v>34.387175324675326</v>
      </c>
      <c r="P134" s="9">
        <f>'Carichi unitari'!$D$10*K134*L134*M134*N134</f>
        <v>12.5</v>
      </c>
      <c r="Q134" s="329">
        <f>O134*$E$25+P134*$F$25</f>
        <v>63.453327922077925</v>
      </c>
      <c r="R134" s="281">
        <f>O134+P134*$H$24</f>
        <v>38.137175324675326</v>
      </c>
      <c r="S134" s="413">
        <v>2.5</v>
      </c>
      <c r="T134" s="414">
        <v>1</v>
      </c>
      <c r="U134" s="414">
        <v>2.5</v>
      </c>
      <c r="V134" s="424">
        <v>1</v>
      </c>
      <c r="W134" s="329">
        <f>('Carichi unitari'!$C$11+'Carichi unitari'!$C$10)*S134*T134*U134*V134</f>
        <v>34.387175324675326</v>
      </c>
      <c r="X134" s="9">
        <f>'Carichi unitari'!$D$10*S134*T134*U134*V134</f>
        <v>12.5</v>
      </c>
      <c r="Y134" s="329">
        <f>W134*$E$25+X134*$F$25</f>
        <v>63.453327922077925</v>
      </c>
      <c r="Z134" s="281">
        <f>W134+X134*$H$24</f>
        <v>38.137175324675326</v>
      </c>
      <c r="AA134" s="413">
        <v>2.5</v>
      </c>
      <c r="AB134" s="414">
        <v>1</v>
      </c>
      <c r="AC134" s="414">
        <v>2.5</v>
      </c>
      <c r="AD134" s="424">
        <v>1</v>
      </c>
      <c r="AE134" s="329">
        <f>('Carichi unitari'!$C$11+'Carichi unitari'!$C$10)*AA134*AB134*AC134*AD134</f>
        <v>34.387175324675326</v>
      </c>
      <c r="AF134" s="9">
        <f>'Carichi unitari'!$D$10*AA134*AB134*AC134*AD134</f>
        <v>12.5</v>
      </c>
      <c r="AG134" s="329">
        <f>AE134*$E$25+AF134*$F$25</f>
        <v>63.453327922077925</v>
      </c>
      <c r="AH134" s="281">
        <f>AE134+AF134*$H$24</f>
        <v>38.137175324675326</v>
      </c>
      <c r="AI134" s="413">
        <v>2.5</v>
      </c>
      <c r="AJ134" s="414">
        <v>1</v>
      </c>
      <c r="AK134" s="414">
        <v>2.5</v>
      </c>
      <c r="AL134" s="424">
        <v>1</v>
      </c>
      <c r="AM134" s="329">
        <f>('Carichi unitari'!$C$11+'Carichi unitari'!$C$10)*AI134*AJ134*AK134*AL134</f>
        <v>34.387175324675326</v>
      </c>
      <c r="AN134" s="9">
        <f>'Carichi unitari'!$D$10*AI134*AJ134*AK134*AL134</f>
        <v>12.5</v>
      </c>
      <c r="AO134" s="329">
        <f>AM134*$E$25+AN134*$F$25</f>
        <v>63.453327922077925</v>
      </c>
      <c r="AP134" s="281">
        <f>AM134+AN134*$H$24</f>
        <v>38.137175324675326</v>
      </c>
      <c r="AQ134" s="413">
        <v>2.5</v>
      </c>
      <c r="AR134" s="414">
        <v>1</v>
      </c>
      <c r="AS134" s="414">
        <v>2.5</v>
      </c>
      <c r="AT134" s="424">
        <v>1</v>
      </c>
      <c r="AU134" s="329">
        <f>('Carichi unitari'!$C$11+'Carichi unitari'!$C$10)*AQ134*AR134*AS134*AT134</f>
        <v>34.387175324675326</v>
      </c>
      <c r="AV134" s="9">
        <f>'Carichi unitari'!$D$10*AQ134*AR134*AS134*AT134</f>
        <v>12.5</v>
      </c>
      <c r="AW134" s="329">
        <f>AU134*$E$25+AV134*$F$25</f>
        <v>63.453327922077925</v>
      </c>
      <c r="AX134" s="281">
        <f>AU134+AV134*$H$24</f>
        <v>38.137175324675326</v>
      </c>
    </row>
    <row r="135" spans="2:50" x14ac:dyDescent="0.3">
      <c r="B135" s="383" t="s">
        <v>358</v>
      </c>
      <c r="C135" s="388">
        <v>2.5</v>
      </c>
      <c r="D135" s="414">
        <v>1</v>
      </c>
      <c r="E135" s="414">
        <v>4.5</v>
      </c>
      <c r="F135" s="414">
        <v>1.2</v>
      </c>
      <c r="G135" s="416">
        <f>(C135*D135+E135*F135)*'Carichi unitari'!$C$17</f>
        <v>39.413305194805197</v>
      </c>
      <c r="H135" s="416"/>
      <c r="I135" s="416">
        <f>G135*$E$25</f>
        <v>51.23729675324676</v>
      </c>
      <c r="J135" s="418">
        <f>G135</f>
        <v>39.413305194805197</v>
      </c>
      <c r="K135" s="413">
        <v>2.5</v>
      </c>
      <c r="L135" s="414">
        <v>1</v>
      </c>
      <c r="M135" s="414">
        <v>4.5</v>
      </c>
      <c r="N135" s="414">
        <v>1.1000000000000001</v>
      </c>
      <c r="O135" s="416">
        <f>(K135*L135+M135*N135)*'Carichi unitari'!$C$17</f>
        <v>37.168243506493511</v>
      </c>
      <c r="P135" s="16"/>
      <c r="Q135" s="16">
        <f>O135*$E$25</f>
        <v>48.318716558441565</v>
      </c>
      <c r="R135" s="356">
        <f>O135</f>
        <v>37.168243506493511</v>
      </c>
      <c r="S135" s="413">
        <v>2.5</v>
      </c>
      <c r="T135" s="414">
        <v>1</v>
      </c>
      <c r="U135" s="414">
        <v>4.5</v>
      </c>
      <c r="V135" s="414">
        <v>1.1000000000000001</v>
      </c>
      <c r="W135" s="16">
        <f>(S135*T135+U135*V135)*'Carichi unitari'!$C$17</f>
        <v>37.168243506493511</v>
      </c>
      <c r="X135" s="16"/>
      <c r="Y135" s="16">
        <f>W135*$E$25</f>
        <v>48.318716558441565</v>
      </c>
      <c r="Z135" s="356">
        <f>W135</f>
        <v>37.168243506493511</v>
      </c>
      <c r="AA135" s="413">
        <v>2.5</v>
      </c>
      <c r="AB135" s="414">
        <v>1</v>
      </c>
      <c r="AC135" s="414">
        <v>4.5</v>
      </c>
      <c r="AD135" s="414">
        <v>1.1000000000000001</v>
      </c>
      <c r="AE135" s="16">
        <f>(AA135*AB135+AC135*AD135)*'Carichi unitari'!$C$18</f>
        <v>31.580743506493501</v>
      </c>
      <c r="AF135" s="16"/>
      <c r="AG135" s="16">
        <f>AE135*$E$25</f>
        <v>41.054966558441556</v>
      </c>
      <c r="AH135" s="356">
        <f>AE135</f>
        <v>31.580743506493501</v>
      </c>
      <c r="AI135" s="413">
        <v>2.5</v>
      </c>
      <c r="AJ135" s="414">
        <v>1</v>
      </c>
      <c r="AK135" s="414">
        <v>4.5</v>
      </c>
      <c r="AL135" s="414">
        <v>1.1000000000000001</v>
      </c>
      <c r="AM135" s="16">
        <f>(AI135*AJ135+AK135*AL135)*'Carichi unitari'!$C$18</f>
        <v>31.580743506493501</v>
      </c>
      <c r="AN135" s="16"/>
      <c r="AO135" s="16">
        <f>AM135*$E$25</f>
        <v>41.054966558441556</v>
      </c>
      <c r="AP135" s="356">
        <f>AM135</f>
        <v>31.580743506493501</v>
      </c>
      <c r="AQ135" s="413">
        <v>2.5</v>
      </c>
      <c r="AR135" s="414">
        <v>1</v>
      </c>
      <c r="AS135" s="414">
        <v>4.5</v>
      </c>
      <c r="AT135" s="414">
        <v>1.1000000000000001</v>
      </c>
      <c r="AU135" s="16">
        <f>(AQ135*AR135+AS135*AT135)*'Carichi unitari'!$C$19</f>
        <v>25.99324350649351</v>
      </c>
      <c r="AV135" s="16"/>
      <c r="AW135" s="16">
        <f>AU135*$E$25</f>
        <v>33.791216558441562</v>
      </c>
      <c r="AX135" s="356">
        <f>AU135</f>
        <v>25.99324350649351</v>
      </c>
    </row>
    <row r="136" spans="2:50" x14ac:dyDescent="0.3">
      <c r="B136" s="383" t="s">
        <v>359</v>
      </c>
      <c r="C136" s="388">
        <v>2.5</v>
      </c>
      <c r="D136" s="385">
        <v>1</v>
      </c>
      <c r="E136" s="385"/>
      <c r="F136" s="385"/>
      <c r="G136" s="9">
        <f>(C136*D136+E136*F136)*'Carichi unitari'!$C$21</f>
        <v>4.6170779220779217</v>
      </c>
      <c r="H136" s="9"/>
      <c r="I136" s="9">
        <f>G136*$E$25</f>
        <v>6.0022012987012987</v>
      </c>
      <c r="J136" s="281">
        <f>G136</f>
        <v>4.6170779220779217</v>
      </c>
      <c r="K136" s="388">
        <v>2.5</v>
      </c>
      <c r="L136" s="385">
        <v>1</v>
      </c>
      <c r="M136" s="385"/>
      <c r="N136" s="385"/>
      <c r="O136" s="9">
        <f>(K136*L136+M136*N136)*'Carichi unitari'!$C$21</f>
        <v>4.6170779220779217</v>
      </c>
      <c r="P136" s="9"/>
      <c r="Q136" s="9">
        <f>O136*$E$25</f>
        <v>6.0022012987012987</v>
      </c>
      <c r="R136" s="281">
        <f>O136</f>
        <v>4.6170779220779217</v>
      </c>
      <c r="S136" s="388">
        <v>2.5</v>
      </c>
      <c r="T136" s="385">
        <v>1</v>
      </c>
      <c r="U136" s="385"/>
      <c r="V136" s="385"/>
      <c r="W136" s="9">
        <f>(S136*T136+U136*V136)*'Carichi unitari'!$C$21</f>
        <v>4.6170779220779217</v>
      </c>
      <c r="X136" s="9"/>
      <c r="Y136" s="9">
        <f>W136*$E$25</f>
        <v>6.0022012987012987</v>
      </c>
      <c r="Z136" s="281">
        <f>W136</f>
        <v>4.6170779220779217</v>
      </c>
      <c r="AA136" s="388">
        <v>2.5</v>
      </c>
      <c r="AB136" s="385">
        <v>1</v>
      </c>
      <c r="AC136" s="385"/>
      <c r="AD136" s="385"/>
      <c r="AE136" s="9">
        <f>(AA136*AB136+AC136*AD136)*'Carichi unitari'!$C$21</f>
        <v>4.6170779220779217</v>
      </c>
      <c r="AF136" s="9"/>
      <c r="AG136" s="9">
        <f>AE136*$E$25</f>
        <v>6.0022012987012987</v>
      </c>
      <c r="AH136" s="281">
        <f>AE136</f>
        <v>4.6170779220779217</v>
      </c>
      <c r="AI136" s="388">
        <v>2.5</v>
      </c>
      <c r="AJ136" s="385">
        <v>1</v>
      </c>
      <c r="AK136" s="385"/>
      <c r="AL136" s="385"/>
      <c r="AM136" s="9">
        <f>(AI136*AJ136+AK136*AL136)*'Carichi unitari'!$C$21</f>
        <v>4.6170779220779217</v>
      </c>
      <c r="AN136" s="9"/>
      <c r="AO136" s="9">
        <f>AM136*$E$25</f>
        <v>6.0022012987012987</v>
      </c>
      <c r="AP136" s="281">
        <f>AM136</f>
        <v>4.6170779220779217</v>
      </c>
      <c r="AQ136" s="388">
        <v>2.5</v>
      </c>
      <c r="AR136" s="385">
        <v>1</v>
      </c>
      <c r="AS136" s="385"/>
      <c r="AT136" s="385"/>
      <c r="AU136" s="9">
        <f>(AQ136*AR136+AS136*AT136)*'Carichi unitari'!$C$21</f>
        <v>4.6170779220779217</v>
      </c>
      <c r="AV136" s="9"/>
      <c r="AW136" s="9">
        <f>AU136*$E$25</f>
        <v>6.0022012987012987</v>
      </c>
      <c r="AX136" s="281">
        <f>AU136</f>
        <v>4.6170779220779217</v>
      </c>
    </row>
    <row r="137" spans="2:50" x14ac:dyDescent="0.3">
      <c r="B137" s="383" t="s">
        <v>247</v>
      </c>
      <c r="C137" s="388"/>
      <c r="D137" s="385"/>
      <c r="E137" s="385"/>
      <c r="F137" s="385"/>
      <c r="G137" s="9">
        <f>'Carichi unitari'!$C$23</f>
        <v>16.799999999999997</v>
      </c>
      <c r="H137" s="9"/>
      <c r="I137" s="9">
        <f>G137*$E$25</f>
        <v>21.839999999999996</v>
      </c>
      <c r="J137" s="281">
        <f>G137</f>
        <v>16.799999999999997</v>
      </c>
      <c r="K137" s="388"/>
      <c r="L137" s="385"/>
      <c r="M137" s="385"/>
      <c r="N137" s="385"/>
      <c r="O137" s="9">
        <f>'Carichi unitari'!$C$24</f>
        <v>14.400000000000002</v>
      </c>
      <c r="P137" s="9"/>
      <c r="Q137" s="9">
        <f>O137*$E$25</f>
        <v>18.720000000000002</v>
      </c>
      <c r="R137" s="281">
        <f>O137</f>
        <v>14.400000000000002</v>
      </c>
      <c r="S137" s="388"/>
      <c r="T137" s="385"/>
      <c r="U137" s="385"/>
      <c r="V137" s="385"/>
      <c r="W137" s="9">
        <f>'Carichi unitari'!$C$25</f>
        <v>13.125</v>
      </c>
      <c r="X137" s="9"/>
      <c r="Y137" s="9">
        <f>W137*$E$25</f>
        <v>17.0625</v>
      </c>
      <c r="Z137" s="281">
        <f>W137</f>
        <v>13.125</v>
      </c>
      <c r="AA137" s="388"/>
      <c r="AB137" s="385"/>
      <c r="AC137" s="385"/>
      <c r="AD137" s="385"/>
      <c r="AE137" s="9">
        <f>'Carichi unitari'!$C$25</f>
        <v>13.125</v>
      </c>
      <c r="AF137" s="9"/>
      <c r="AG137" s="9">
        <f>AE137*$E$25</f>
        <v>17.0625</v>
      </c>
      <c r="AH137" s="281">
        <f>AE137</f>
        <v>13.125</v>
      </c>
      <c r="AI137" s="388"/>
      <c r="AJ137" s="385"/>
      <c r="AK137" s="385"/>
      <c r="AL137" s="385"/>
      <c r="AM137" s="9">
        <f>'Carichi unitari'!$C$26</f>
        <v>11.700000000000001</v>
      </c>
      <c r="AN137" s="9"/>
      <c r="AO137" s="9">
        <f>AM137*$E$25</f>
        <v>15.210000000000003</v>
      </c>
      <c r="AP137" s="281">
        <f>AM137</f>
        <v>11.700000000000001</v>
      </c>
      <c r="AQ137" s="388"/>
      <c r="AR137" s="385"/>
      <c r="AS137" s="385"/>
      <c r="AT137" s="385"/>
      <c r="AU137" s="9">
        <f>'Carichi unitari'!$C$26</f>
        <v>11.700000000000001</v>
      </c>
      <c r="AV137" s="9"/>
      <c r="AW137" s="9">
        <f>AU137*$E$25</f>
        <v>15.210000000000003</v>
      </c>
      <c r="AX137" s="281">
        <f>AU137</f>
        <v>11.700000000000001</v>
      </c>
    </row>
    <row r="138" spans="2:50" ht="15" thickBot="1" x14ac:dyDescent="0.35">
      <c r="B138" s="384" t="s">
        <v>380</v>
      </c>
      <c r="C138" s="389"/>
      <c r="D138" s="390"/>
      <c r="E138" s="390"/>
      <c r="F138" s="390"/>
      <c r="G138" s="301"/>
      <c r="H138" s="301"/>
      <c r="I138" s="350">
        <f>SUM(I131:I137)</f>
        <v>352.69024805194806</v>
      </c>
      <c r="J138" s="352">
        <f>SUM(J131:J137)</f>
        <v>225.27788311688312</v>
      </c>
      <c r="K138" s="389"/>
      <c r="L138" s="390"/>
      <c r="M138" s="390"/>
      <c r="N138" s="390"/>
      <c r="O138" s="301"/>
      <c r="P138" s="301"/>
      <c r="Q138" s="350">
        <f>SUM(Q131:Q137)</f>
        <v>335.23006883116886</v>
      </c>
      <c r="R138" s="352">
        <f>SUM(R131:R137)</f>
        <v>213.76812987012988</v>
      </c>
      <c r="S138" s="389"/>
      <c r="T138" s="390"/>
      <c r="U138" s="390"/>
      <c r="V138" s="390"/>
      <c r="W138" s="301"/>
      <c r="X138" s="301"/>
      <c r="Y138" s="350">
        <f>SUM(Y131:Y137)</f>
        <v>333.57256883116884</v>
      </c>
      <c r="Z138" s="352">
        <f>SUM(Z131:Z137)</f>
        <v>212.49312987012988</v>
      </c>
      <c r="AA138" s="389"/>
      <c r="AB138" s="390"/>
      <c r="AC138" s="390"/>
      <c r="AD138" s="390"/>
      <c r="AE138" s="301"/>
      <c r="AF138" s="301"/>
      <c r="AG138" s="350">
        <f>SUM(AG131:AG137)</f>
        <v>326.30881883116882</v>
      </c>
      <c r="AH138" s="352">
        <f>SUM(AH131:AH137)</f>
        <v>206.90562987012987</v>
      </c>
      <c r="AI138" s="389"/>
      <c r="AJ138" s="390"/>
      <c r="AK138" s="390"/>
      <c r="AL138" s="390"/>
      <c r="AM138" s="301"/>
      <c r="AN138" s="301"/>
      <c r="AO138" s="350">
        <f>SUM(AO131:AO137)</f>
        <v>324.4563188311688</v>
      </c>
      <c r="AP138" s="352">
        <f>SUM(AP131:AP137)</f>
        <v>205.48062987012986</v>
      </c>
      <c r="AQ138" s="389"/>
      <c r="AR138" s="390"/>
      <c r="AS138" s="390"/>
      <c r="AT138" s="390"/>
      <c r="AU138" s="301"/>
      <c r="AV138" s="301"/>
      <c r="AW138" s="350">
        <f>SUM(AW131:AW137)</f>
        <v>317.19256883116884</v>
      </c>
      <c r="AX138" s="352">
        <f>SUM(AX131:AX137)</f>
        <v>199.89312987012988</v>
      </c>
    </row>
    <row r="139" spans="2:50" ht="16.2" thickBot="1" x14ac:dyDescent="0.35">
      <c r="C139" s="602" t="s">
        <v>381</v>
      </c>
      <c r="D139" s="603"/>
      <c r="E139" s="603"/>
      <c r="F139" s="603"/>
      <c r="G139" s="603"/>
      <c r="H139" s="603"/>
      <c r="I139" s="603"/>
      <c r="J139" s="603"/>
      <c r="K139" s="602" t="s">
        <v>382</v>
      </c>
      <c r="L139" s="603"/>
      <c r="M139" s="603"/>
      <c r="N139" s="603"/>
      <c r="O139" s="603"/>
      <c r="P139" s="603"/>
      <c r="Q139" s="603"/>
      <c r="R139" s="603"/>
      <c r="S139" s="602" t="s">
        <v>383</v>
      </c>
      <c r="T139" s="603"/>
      <c r="U139" s="603"/>
      <c r="V139" s="603"/>
      <c r="W139" s="603"/>
      <c r="X139" s="603"/>
      <c r="Y139" s="603"/>
      <c r="Z139" s="603"/>
      <c r="AA139" s="602" t="s">
        <v>384</v>
      </c>
      <c r="AB139" s="603"/>
      <c r="AC139" s="603"/>
      <c r="AD139" s="603"/>
      <c r="AE139" s="603"/>
      <c r="AF139" s="603"/>
      <c r="AG139" s="603"/>
      <c r="AH139" s="603"/>
      <c r="AI139" s="602" t="s">
        <v>385</v>
      </c>
      <c r="AJ139" s="603"/>
      <c r="AK139" s="603"/>
      <c r="AL139" s="603"/>
      <c r="AM139" s="603"/>
      <c r="AN139" s="603"/>
      <c r="AO139" s="603"/>
      <c r="AP139" s="603"/>
      <c r="AQ139" s="602" t="s">
        <v>386</v>
      </c>
      <c r="AR139" s="603"/>
      <c r="AS139" s="603"/>
      <c r="AT139" s="603"/>
      <c r="AU139" s="603"/>
      <c r="AV139" s="603"/>
      <c r="AW139" s="603"/>
      <c r="AX139" s="603"/>
    </row>
    <row r="140" spans="2:50" ht="46.2" thickBot="1" x14ac:dyDescent="0.35">
      <c r="B140" s="379" t="s">
        <v>389</v>
      </c>
      <c r="C140" s="313" t="s">
        <v>241</v>
      </c>
      <c r="D140" s="314" t="s">
        <v>242</v>
      </c>
      <c r="E140" s="313" t="s">
        <v>241</v>
      </c>
      <c r="F140" s="314" t="s">
        <v>242</v>
      </c>
      <c r="G140" s="315" t="s">
        <v>8</v>
      </c>
      <c r="H140" s="315" t="s">
        <v>9</v>
      </c>
      <c r="I140" s="316" t="s">
        <v>253</v>
      </c>
      <c r="J140" s="317" t="s">
        <v>254</v>
      </c>
      <c r="K140" s="313" t="s">
        <v>241</v>
      </c>
      <c r="L140" s="314" t="s">
        <v>242</v>
      </c>
      <c r="M140" s="313" t="s">
        <v>241</v>
      </c>
      <c r="N140" s="314" t="s">
        <v>242</v>
      </c>
      <c r="O140" s="315" t="s">
        <v>8</v>
      </c>
      <c r="P140" s="315" t="s">
        <v>9</v>
      </c>
      <c r="Q140" s="316" t="s">
        <v>253</v>
      </c>
      <c r="R140" s="317" t="s">
        <v>254</v>
      </c>
      <c r="S140" s="313" t="s">
        <v>241</v>
      </c>
      <c r="T140" s="314" t="s">
        <v>242</v>
      </c>
      <c r="U140" s="313" t="s">
        <v>241</v>
      </c>
      <c r="V140" s="314" t="s">
        <v>242</v>
      </c>
      <c r="W140" s="315" t="s">
        <v>8</v>
      </c>
      <c r="X140" s="315" t="s">
        <v>9</v>
      </c>
      <c r="Y140" s="316" t="s">
        <v>253</v>
      </c>
      <c r="Z140" s="317" t="s">
        <v>254</v>
      </c>
      <c r="AA140" s="313" t="s">
        <v>241</v>
      </c>
      <c r="AB140" s="314" t="s">
        <v>242</v>
      </c>
      <c r="AC140" s="313" t="s">
        <v>241</v>
      </c>
      <c r="AD140" s="314" t="s">
        <v>242</v>
      </c>
      <c r="AE140" s="315" t="s">
        <v>8</v>
      </c>
      <c r="AF140" s="315" t="s">
        <v>9</v>
      </c>
      <c r="AG140" s="316" t="s">
        <v>253</v>
      </c>
      <c r="AH140" s="317" t="s">
        <v>254</v>
      </c>
      <c r="AI140" s="313" t="s">
        <v>241</v>
      </c>
      <c r="AJ140" s="314" t="s">
        <v>242</v>
      </c>
      <c r="AK140" s="313" t="s">
        <v>241</v>
      </c>
      <c r="AL140" s="314" t="s">
        <v>242</v>
      </c>
      <c r="AM140" s="315" t="s">
        <v>8</v>
      </c>
      <c r="AN140" s="315" t="s">
        <v>9</v>
      </c>
      <c r="AO140" s="316" t="s">
        <v>253</v>
      </c>
      <c r="AP140" s="317" t="s">
        <v>254</v>
      </c>
      <c r="AQ140" s="313" t="s">
        <v>241</v>
      </c>
      <c r="AR140" s="314" t="s">
        <v>242</v>
      </c>
      <c r="AS140" s="313" t="s">
        <v>241</v>
      </c>
      <c r="AT140" s="314" t="s">
        <v>242</v>
      </c>
      <c r="AU140" s="315" t="s">
        <v>8</v>
      </c>
      <c r="AV140" s="315" t="s">
        <v>9</v>
      </c>
      <c r="AW140" s="316" t="s">
        <v>253</v>
      </c>
      <c r="AX140" s="317" t="s">
        <v>254</v>
      </c>
    </row>
    <row r="141" spans="2:50" x14ac:dyDescent="0.3">
      <c r="B141" s="380" t="s">
        <v>42</v>
      </c>
      <c r="C141" s="386">
        <v>2</v>
      </c>
      <c r="D141" s="166">
        <v>1</v>
      </c>
      <c r="E141" s="166">
        <v>2.5</v>
      </c>
      <c r="F141" s="209">
        <v>1</v>
      </c>
      <c r="G141" s="411">
        <f>('Carichi unitari'!$C$11+'Carichi unitari'!$C$10)*C141*D141*E141*F141</f>
        <v>27.509740259740262</v>
      </c>
      <c r="H141" s="357">
        <f>'Carichi unitari'!$D$10*C141*D141*E141*F141</f>
        <v>10</v>
      </c>
      <c r="I141" s="411">
        <f>G141*$E$25+H141*$F$25</f>
        <v>50.762662337662341</v>
      </c>
      <c r="J141" s="421">
        <f>G141+H141*$H$24</f>
        <v>30.509740259740262</v>
      </c>
      <c r="K141" s="165">
        <v>2</v>
      </c>
      <c r="L141" s="166">
        <v>1.1000000000000001</v>
      </c>
      <c r="M141" s="166">
        <v>2.5</v>
      </c>
      <c r="N141" s="407">
        <v>1</v>
      </c>
      <c r="O141" s="378">
        <f>('Carichi unitari'!$C$11+'Carichi unitari'!$C$10)*K141*L141*M141*N141</f>
        <v>30.26071428571429</v>
      </c>
      <c r="P141" s="319">
        <f>'Carichi unitari'!$D$10*K141*L141*M141*N141</f>
        <v>11</v>
      </c>
      <c r="Q141" s="378">
        <f>O141*$E$25+P141*$F$25</f>
        <v>55.838928571428575</v>
      </c>
      <c r="R141" s="320">
        <f>O141+P141*$H$24</f>
        <v>33.56071428571429</v>
      </c>
      <c r="S141" s="165">
        <v>2</v>
      </c>
      <c r="T141" s="166">
        <v>1.1000000000000001</v>
      </c>
      <c r="U141" s="166">
        <v>2.5</v>
      </c>
      <c r="V141" s="407">
        <v>1</v>
      </c>
      <c r="W141" s="378">
        <f>('Carichi unitari'!$C$11+'Carichi unitari'!$C$10)*S141*T141*U141*V141</f>
        <v>30.26071428571429</v>
      </c>
      <c r="X141" s="319">
        <f>'Carichi unitari'!$D$10*S141*T141*U141*V141</f>
        <v>11</v>
      </c>
      <c r="Y141" s="378">
        <f>W141*$E$25+X141*$F$25</f>
        <v>55.838928571428575</v>
      </c>
      <c r="Z141" s="320">
        <f>W141+X141*$H$24</f>
        <v>33.56071428571429</v>
      </c>
      <c r="AA141" s="165">
        <v>2</v>
      </c>
      <c r="AB141" s="166">
        <v>1.1000000000000001</v>
      </c>
      <c r="AC141" s="166">
        <v>2.5</v>
      </c>
      <c r="AD141" s="407">
        <v>1</v>
      </c>
      <c r="AE141" s="378">
        <f>('Carichi unitari'!$C$11+'Carichi unitari'!$C$10)*AA141*AB141*AC141*AD141</f>
        <v>30.26071428571429</v>
      </c>
      <c r="AF141" s="319">
        <f>'Carichi unitari'!$D$10*AA141*AB141*AC141*AD141</f>
        <v>11</v>
      </c>
      <c r="AG141" s="378">
        <f>AE141*$E$25+AF141*$F$25</f>
        <v>55.838928571428575</v>
      </c>
      <c r="AH141" s="320">
        <f>AE141+AF141*$H$24</f>
        <v>33.56071428571429</v>
      </c>
      <c r="AI141" s="165">
        <v>2</v>
      </c>
      <c r="AJ141" s="166">
        <v>1.1000000000000001</v>
      </c>
      <c r="AK141" s="166">
        <v>2.5</v>
      </c>
      <c r="AL141" s="407">
        <v>1</v>
      </c>
      <c r="AM141" s="378">
        <f>('Carichi unitari'!$C$11+'Carichi unitari'!$C$10)*AI141*AJ141*AK141*AL141</f>
        <v>30.26071428571429</v>
      </c>
      <c r="AN141" s="319">
        <f>'Carichi unitari'!$D$10*AI141*AJ141*AK141*AL141</f>
        <v>11</v>
      </c>
      <c r="AO141" s="378">
        <f>AM141*$E$25+AN141*$F$25</f>
        <v>55.838928571428575</v>
      </c>
      <c r="AP141" s="320">
        <f>AM141+AN141*$H$24</f>
        <v>33.56071428571429</v>
      </c>
      <c r="AQ141" s="165">
        <v>2</v>
      </c>
      <c r="AR141" s="166">
        <v>1.1000000000000001</v>
      </c>
      <c r="AS141" s="166">
        <v>2.5</v>
      </c>
      <c r="AT141" s="407">
        <v>1</v>
      </c>
      <c r="AU141" s="378">
        <f>('Carichi unitari'!$C$11+'Carichi unitari'!$C$10)*AQ141*AR141*AS141*AT141</f>
        <v>30.26071428571429</v>
      </c>
      <c r="AV141" s="319">
        <f>'Carichi unitari'!$D$10*AQ141*AR141*AS141*AT141</f>
        <v>11</v>
      </c>
      <c r="AW141" s="378">
        <f>AU141*$E$25+AV141*$F$25</f>
        <v>55.838928571428575</v>
      </c>
      <c r="AX141" s="320">
        <f>AU141+AV141*$H$24</f>
        <v>33.56071428571429</v>
      </c>
    </row>
    <row r="142" spans="2:50" x14ac:dyDescent="0.3">
      <c r="B142" s="381" t="s">
        <v>42</v>
      </c>
      <c r="C142" s="37">
        <v>2.5</v>
      </c>
      <c r="D142" s="50">
        <v>1.2</v>
      </c>
      <c r="E142" s="50">
        <v>2</v>
      </c>
      <c r="F142" s="210">
        <v>1</v>
      </c>
      <c r="G142" s="412">
        <f>('Carichi unitari'!$C$11+'Carichi unitari'!$C$10)*C142*D142*E142*F142</f>
        <v>33.01168831168831</v>
      </c>
      <c r="H142" s="358">
        <f>'Carichi unitari'!$D$10*C142*D142*E142*F142</f>
        <v>12</v>
      </c>
      <c r="I142" s="412">
        <f>G142*$E$25+H142*$F$25</f>
        <v>60.915194805194808</v>
      </c>
      <c r="J142" s="417">
        <f>G142+H142*$H$24</f>
        <v>36.611688311688312</v>
      </c>
      <c r="K142" s="171">
        <v>2.5</v>
      </c>
      <c r="L142" s="50">
        <v>1.2</v>
      </c>
      <c r="M142" s="50">
        <v>2</v>
      </c>
      <c r="N142" s="302">
        <v>1</v>
      </c>
      <c r="O142" s="329">
        <f>('Carichi unitari'!$C$11+'Carichi unitari'!$C$10)*K142*L142*M142*N142</f>
        <v>33.01168831168831</v>
      </c>
      <c r="P142" s="9">
        <f>'Carichi unitari'!$D$10*K142*L142*M142*N142</f>
        <v>12</v>
      </c>
      <c r="Q142" s="329">
        <f>O142*$E$25+P142*$F$25</f>
        <v>60.915194805194808</v>
      </c>
      <c r="R142" s="281">
        <f>O142+P142*$H$24</f>
        <v>36.611688311688312</v>
      </c>
      <c r="S142" s="171">
        <v>2.5</v>
      </c>
      <c r="T142" s="50">
        <v>1.2</v>
      </c>
      <c r="U142" s="50">
        <v>2</v>
      </c>
      <c r="V142" s="302">
        <v>1</v>
      </c>
      <c r="W142" s="329">
        <f>('Carichi unitari'!$C$11+'Carichi unitari'!$C$10)*S142*T142*U142*V142</f>
        <v>33.01168831168831</v>
      </c>
      <c r="X142" s="9">
        <f>'Carichi unitari'!$D$10*S142*T142*U142*V142</f>
        <v>12</v>
      </c>
      <c r="Y142" s="329">
        <f>W142*$E$25+X142*$F$25</f>
        <v>60.915194805194808</v>
      </c>
      <c r="Z142" s="281">
        <f>W142+X142*$H$24</f>
        <v>36.611688311688312</v>
      </c>
      <c r="AA142" s="171">
        <v>2.5</v>
      </c>
      <c r="AB142" s="50">
        <v>1.2</v>
      </c>
      <c r="AC142" s="50">
        <v>2</v>
      </c>
      <c r="AD142" s="302">
        <v>1</v>
      </c>
      <c r="AE142" s="329">
        <f>('Carichi unitari'!$C$11+'Carichi unitari'!$C$10)*AA142*AB142*AC142*AD142</f>
        <v>33.01168831168831</v>
      </c>
      <c r="AF142" s="9">
        <f>'Carichi unitari'!$D$10*AA142*AB142*AC142*AD142</f>
        <v>12</v>
      </c>
      <c r="AG142" s="329">
        <f>AE142*$E$25+AF142*$F$25</f>
        <v>60.915194805194808</v>
      </c>
      <c r="AH142" s="281">
        <f>AE142+AF142*$H$24</f>
        <v>36.611688311688312</v>
      </c>
      <c r="AI142" s="171">
        <v>2.5</v>
      </c>
      <c r="AJ142" s="50">
        <v>1.2</v>
      </c>
      <c r="AK142" s="50">
        <v>2</v>
      </c>
      <c r="AL142" s="302">
        <v>1</v>
      </c>
      <c r="AM142" s="329">
        <f>('Carichi unitari'!$C$11+'Carichi unitari'!$C$10)*AI142*AJ142*AK142*AL142</f>
        <v>33.01168831168831</v>
      </c>
      <c r="AN142" s="9">
        <f>'Carichi unitari'!$D$10*AI142*AJ142*AK142*AL142</f>
        <v>12</v>
      </c>
      <c r="AO142" s="329">
        <f>AM142*$E$25+AN142*$F$25</f>
        <v>60.915194805194808</v>
      </c>
      <c r="AP142" s="281">
        <f>AM142+AN142*$H$24</f>
        <v>36.611688311688312</v>
      </c>
      <c r="AQ142" s="171">
        <v>2.5</v>
      </c>
      <c r="AR142" s="50">
        <v>1.2</v>
      </c>
      <c r="AS142" s="50">
        <v>2</v>
      </c>
      <c r="AT142" s="302">
        <v>1</v>
      </c>
      <c r="AU142" s="329">
        <f>('Carichi unitari'!$C$11+'Carichi unitari'!$C$10)*AQ142*AR142*AS142*AT142</f>
        <v>33.01168831168831</v>
      </c>
      <c r="AV142" s="9">
        <f>'Carichi unitari'!$D$10*AQ142*AR142*AS142*AT142</f>
        <v>12</v>
      </c>
      <c r="AW142" s="329">
        <f>AU142*$E$25+AV142*$F$25</f>
        <v>60.915194805194808</v>
      </c>
      <c r="AX142" s="281">
        <f>AU142+AV142*$H$24</f>
        <v>36.611688311688312</v>
      </c>
    </row>
    <row r="143" spans="2:50" x14ac:dyDescent="0.3">
      <c r="B143" s="381" t="s">
        <v>45</v>
      </c>
      <c r="C143" s="37"/>
      <c r="D143" s="50"/>
      <c r="E143" s="50"/>
      <c r="F143" s="50"/>
      <c r="G143" s="358"/>
      <c r="H143" s="358"/>
      <c r="I143" s="358"/>
      <c r="J143" s="417"/>
      <c r="K143" s="171">
        <v>1.5</v>
      </c>
      <c r="L143" s="50"/>
      <c r="M143" s="50">
        <v>2.5</v>
      </c>
      <c r="N143" s="400"/>
      <c r="O143" s="9">
        <f>'Carichi unitari'!$C$14*K143*M143</f>
        <v>14.739669421487605</v>
      </c>
      <c r="P143" s="9">
        <f>K143*M143*'Carichi unitari'!$D$14</f>
        <v>15</v>
      </c>
      <c r="Q143" s="9">
        <f>O143*$E$25+P143*$F$25</f>
        <v>41.661570247933888</v>
      </c>
      <c r="R143" s="281">
        <f>O143+P143*$I$24</f>
        <v>23.739669421487605</v>
      </c>
      <c r="S143" s="37">
        <v>1.5</v>
      </c>
      <c r="T143" s="400"/>
      <c r="U143" s="400">
        <v>2.5</v>
      </c>
      <c r="V143" s="400"/>
      <c r="W143" s="9">
        <f>'Carichi unitari'!$C$14*S143*U143</f>
        <v>14.739669421487605</v>
      </c>
      <c r="X143" s="9">
        <f>S143*U143*'Carichi unitari'!$D$14</f>
        <v>15</v>
      </c>
      <c r="Y143" s="9">
        <f>W143*$E$25+X143*$F$25</f>
        <v>41.661570247933888</v>
      </c>
      <c r="Z143" s="281">
        <f>W143+X143*$I$24</f>
        <v>23.739669421487605</v>
      </c>
      <c r="AA143" s="37">
        <v>1.5</v>
      </c>
      <c r="AB143" s="400"/>
      <c r="AC143" s="400">
        <v>2.5</v>
      </c>
      <c r="AD143" s="400"/>
      <c r="AE143" s="9">
        <f>'Carichi unitari'!$C$14*AA143*AC143</f>
        <v>14.739669421487605</v>
      </c>
      <c r="AF143" s="9">
        <f>AA143*AC143*'Carichi unitari'!$D$14</f>
        <v>15</v>
      </c>
      <c r="AG143" s="9">
        <f>AE143*$E$25+AF143*$F$25</f>
        <v>41.661570247933888</v>
      </c>
      <c r="AH143" s="281">
        <f>AE143+AF143*$I$24</f>
        <v>23.739669421487605</v>
      </c>
      <c r="AI143" s="37">
        <v>1.5</v>
      </c>
      <c r="AJ143" s="400"/>
      <c r="AK143" s="400">
        <v>2.5</v>
      </c>
      <c r="AL143" s="400"/>
      <c r="AM143" s="9">
        <f>'Carichi unitari'!$C$14*AI143*AK143</f>
        <v>14.739669421487605</v>
      </c>
      <c r="AN143" s="9">
        <f>AI143*AK143*'Carichi unitari'!$D$14</f>
        <v>15</v>
      </c>
      <c r="AO143" s="9">
        <f>AM143*$E$25+AN143*$F$25</f>
        <v>41.661570247933888</v>
      </c>
      <c r="AP143" s="281">
        <f>AM143+AN143*$I$24</f>
        <v>23.739669421487605</v>
      </c>
      <c r="AQ143" s="37">
        <v>0.4</v>
      </c>
      <c r="AR143" s="400"/>
      <c r="AS143" s="400">
        <v>2.5</v>
      </c>
      <c r="AT143" s="400"/>
      <c r="AU143" s="9">
        <f>'Carichi unitari'!C124*AQ143*AS143</f>
        <v>0</v>
      </c>
      <c r="AV143" s="9">
        <f>AQ143*AS143*'Carichi unitari'!$D$15</f>
        <v>0.5</v>
      </c>
      <c r="AW143" s="9">
        <f>AU143*$E$25+AV143*$F$25</f>
        <v>0.75</v>
      </c>
      <c r="AX143" s="281">
        <f>AU143+AV143*$I$24</f>
        <v>0.3</v>
      </c>
    </row>
    <row r="144" spans="2:50" x14ac:dyDescent="0.3">
      <c r="B144" s="383" t="s">
        <v>358</v>
      </c>
      <c r="C144" s="388">
        <v>2.5</v>
      </c>
      <c r="D144" s="385">
        <v>1</v>
      </c>
      <c r="E144" s="385">
        <v>2.5</v>
      </c>
      <c r="F144" s="385">
        <v>1.2</v>
      </c>
      <c r="G144" s="16">
        <f>(C144*D144+E144*F144)*'Carichi unitari'!$C$17</f>
        <v>27.439642857142857</v>
      </c>
      <c r="H144" s="16"/>
      <c r="I144" s="16">
        <f>G144*$E$25</f>
        <v>35.671535714285717</v>
      </c>
      <c r="J144" s="356">
        <f>G144</f>
        <v>27.439642857142857</v>
      </c>
      <c r="K144" s="388">
        <v>2.5</v>
      </c>
      <c r="L144" s="385">
        <v>1</v>
      </c>
      <c r="M144" s="385">
        <v>2.5</v>
      </c>
      <c r="N144" s="385">
        <v>1.1000000000000001</v>
      </c>
      <c r="O144" s="16">
        <f>(K144*L144+M144*N144)*'Carichi unitari'!$C$17</f>
        <v>26.192386363636366</v>
      </c>
      <c r="P144" s="16"/>
      <c r="Q144" s="16">
        <f>O144*$E$25</f>
        <v>34.05010227272728</v>
      </c>
      <c r="R144" s="356">
        <f>O144</f>
        <v>26.192386363636366</v>
      </c>
      <c r="S144" s="388">
        <v>2.5</v>
      </c>
      <c r="T144" s="385">
        <v>1</v>
      </c>
      <c r="U144" s="385">
        <v>2.5</v>
      </c>
      <c r="V144" s="385">
        <v>1.1000000000000001</v>
      </c>
      <c r="W144" s="16">
        <f>(S144*T144+U144*V144)*'Carichi unitari'!$C$17</f>
        <v>26.192386363636366</v>
      </c>
      <c r="X144" s="16"/>
      <c r="Y144" s="16">
        <f>W144*$E$25</f>
        <v>34.05010227272728</v>
      </c>
      <c r="Z144" s="356">
        <f>W144</f>
        <v>26.192386363636366</v>
      </c>
      <c r="AA144" s="388">
        <v>2.5</v>
      </c>
      <c r="AB144" s="385">
        <v>1</v>
      </c>
      <c r="AC144" s="385">
        <v>2.5</v>
      </c>
      <c r="AD144" s="385">
        <v>1.1000000000000001</v>
      </c>
      <c r="AE144" s="16">
        <f>(AA144*AB144+AC144*AD144)*'Carichi unitari'!$C$18</f>
        <v>22.254886363636359</v>
      </c>
      <c r="AF144" s="16"/>
      <c r="AG144" s="16">
        <f>AE144*$E$25</f>
        <v>28.931352272727267</v>
      </c>
      <c r="AH144" s="356">
        <f>AE144</f>
        <v>22.254886363636359</v>
      </c>
      <c r="AI144" s="388">
        <v>2.5</v>
      </c>
      <c r="AJ144" s="385">
        <v>1</v>
      </c>
      <c r="AK144" s="385">
        <v>2.5</v>
      </c>
      <c r="AL144" s="385">
        <v>1.1000000000000001</v>
      </c>
      <c r="AM144" s="16">
        <f>(AI144*AJ144+AK144*AL144)*'Carichi unitari'!$C$18</f>
        <v>22.254886363636359</v>
      </c>
      <c r="AN144" s="16"/>
      <c r="AO144" s="16">
        <f>AM144*$E$25</f>
        <v>28.931352272727267</v>
      </c>
      <c r="AP144" s="356">
        <f>AM144</f>
        <v>22.254886363636359</v>
      </c>
      <c r="AQ144" s="388">
        <v>2.5</v>
      </c>
      <c r="AR144" s="385">
        <v>1</v>
      </c>
      <c r="AS144" s="385">
        <v>2.5</v>
      </c>
      <c r="AT144" s="385">
        <v>1.1000000000000001</v>
      </c>
      <c r="AU144" s="16">
        <f>(AQ144*AR144+AS144*AT144)*'Carichi unitari'!$C$19</f>
        <v>18.317386363636366</v>
      </c>
      <c r="AV144" s="16"/>
      <c r="AW144" s="16">
        <f>AU144*$E$25</f>
        <v>23.812602272727275</v>
      </c>
      <c r="AX144" s="356">
        <f>AU144</f>
        <v>18.317386363636366</v>
      </c>
    </row>
    <row r="145" spans="2:50" x14ac:dyDescent="0.3">
      <c r="B145" s="383" t="s">
        <v>359</v>
      </c>
      <c r="C145" s="388">
        <v>2.5</v>
      </c>
      <c r="D145" s="385">
        <v>1</v>
      </c>
      <c r="E145" s="385"/>
      <c r="F145" s="385"/>
      <c r="G145" s="9">
        <f>(C145*D145+E145*F145)*'Carichi unitari'!$C$21</f>
        <v>4.6170779220779217</v>
      </c>
      <c r="H145" s="9"/>
      <c r="I145" s="9">
        <f>G145*$E$25</f>
        <v>6.0022012987012987</v>
      </c>
      <c r="J145" s="281">
        <f>G145</f>
        <v>4.6170779220779217</v>
      </c>
      <c r="K145" s="388">
        <v>2.5</v>
      </c>
      <c r="L145" s="385">
        <v>1.1000000000000001</v>
      </c>
      <c r="M145" s="385"/>
      <c r="N145" s="385"/>
      <c r="O145" s="9">
        <f>(K145*L145+M145*N145)*'Carichi unitari'!$C$21</f>
        <v>5.0787857142857131</v>
      </c>
      <c r="P145" s="9"/>
      <c r="Q145" s="9">
        <f>O145*$E$25</f>
        <v>6.6024214285714269</v>
      </c>
      <c r="R145" s="281">
        <f>O145</f>
        <v>5.0787857142857131</v>
      </c>
      <c r="S145" s="388">
        <v>2.5</v>
      </c>
      <c r="T145" s="385">
        <v>1.1000000000000001</v>
      </c>
      <c r="U145" s="385"/>
      <c r="V145" s="385"/>
      <c r="W145" s="9">
        <f>(S145*T145+U145*V145)*'Carichi unitari'!$C$21</f>
        <v>5.0787857142857131</v>
      </c>
      <c r="X145" s="9"/>
      <c r="Y145" s="9">
        <f>W145*$E$25</f>
        <v>6.6024214285714269</v>
      </c>
      <c r="Z145" s="281">
        <f>W145</f>
        <v>5.0787857142857131</v>
      </c>
      <c r="AA145" s="388">
        <v>2.5</v>
      </c>
      <c r="AB145" s="385">
        <v>1.1000000000000001</v>
      </c>
      <c r="AC145" s="385"/>
      <c r="AD145" s="385"/>
      <c r="AE145" s="9">
        <f>(AA145*AB145+AC145*AD145)*'Carichi unitari'!$C$21</f>
        <v>5.0787857142857131</v>
      </c>
      <c r="AF145" s="9"/>
      <c r="AG145" s="9">
        <f>AE145*$E$25</f>
        <v>6.6024214285714269</v>
      </c>
      <c r="AH145" s="281">
        <f>AE145</f>
        <v>5.0787857142857131</v>
      </c>
      <c r="AI145" s="388">
        <v>2.5</v>
      </c>
      <c r="AJ145" s="385">
        <v>1.1000000000000001</v>
      </c>
      <c r="AK145" s="385"/>
      <c r="AL145" s="385"/>
      <c r="AM145" s="9">
        <f>(AI145*AJ145+AK145*AL145)*'Carichi unitari'!$C$21</f>
        <v>5.0787857142857131</v>
      </c>
      <c r="AN145" s="9"/>
      <c r="AO145" s="9">
        <f>AM145*$E$25</f>
        <v>6.6024214285714269</v>
      </c>
      <c r="AP145" s="281">
        <f>AM145</f>
        <v>5.0787857142857131</v>
      </c>
      <c r="AQ145" s="388">
        <v>2.5</v>
      </c>
      <c r="AR145" s="385">
        <v>1.1000000000000001</v>
      </c>
      <c r="AS145" s="385"/>
      <c r="AT145" s="385"/>
      <c r="AU145" s="9">
        <f>(AQ145*AR145+AS145*AT145)*'Carichi unitari'!$C$21</f>
        <v>5.0787857142857131</v>
      </c>
      <c r="AV145" s="9"/>
      <c r="AW145" s="9">
        <f>AU145*$E$25</f>
        <v>6.6024214285714269</v>
      </c>
      <c r="AX145" s="281">
        <f>AU145</f>
        <v>5.0787857142857131</v>
      </c>
    </row>
    <row r="146" spans="2:50" x14ac:dyDescent="0.3">
      <c r="B146" s="382" t="s">
        <v>357</v>
      </c>
      <c r="C146" s="388">
        <v>5</v>
      </c>
      <c r="D146" s="385">
        <v>0.9</v>
      </c>
      <c r="E146" s="385"/>
      <c r="F146" s="385"/>
      <c r="G146" s="9">
        <f>C146*D146*'Carichi unitari'!$C$22</f>
        <v>26.902061718750005</v>
      </c>
      <c r="H146" s="9"/>
      <c r="I146" s="9">
        <f>G146*$E$25</f>
        <v>34.972680234375005</v>
      </c>
      <c r="J146" s="281">
        <f>G146</f>
        <v>26.902061718750005</v>
      </c>
      <c r="K146" s="388">
        <v>5</v>
      </c>
      <c r="L146" s="385">
        <v>0.8</v>
      </c>
      <c r="M146" s="385"/>
      <c r="N146" s="385"/>
      <c r="O146" s="9">
        <f>K146*L146*'Carichi unitari'!$C$22</f>
        <v>23.912943750000004</v>
      </c>
      <c r="P146" s="9"/>
      <c r="Q146" s="9">
        <f>O146*$E$25</f>
        <v>31.086826875000007</v>
      </c>
      <c r="R146" s="281">
        <f>O146</f>
        <v>23.912943750000004</v>
      </c>
      <c r="S146" s="388">
        <v>5</v>
      </c>
      <c r="T146" s="385">
        <v>0.8</v>
      </c>
      <c r="U146" s="385"/>
      <c r="V146" s="385"/>
      <c r="W146" s="9">
        <f>S146*T146*'Carichi unitari'!$C$22</f>
        <v>23.912943750000004</v>
      </c>
      <c r="X146" s="9"/>
      <c r="Y146" s="9">
        <f>W146*$E$25</f>
        <v>31.086826875000007</v>
      </c>
      <c r="Z146" s="281">
        <f>W146</f>
        <v>23.912943750000004</v>
      </c>
      <c r="AA146" s="388">
        <v>5</v>
      </c>
      <c r="AB146" s="385">
        <v>0.8</v>
      </c>
      <c r="AC146" s="385"/>
      <c r="AD146" s="385"/>
      <c r="AE146" s="9">
        <f>AA146*AB146*'Carichi unitari'!$C$22</f>
        <v>23.912943750000004</v>
      </c>
      <c r="AF146" s="9"/>
      <c r="AG146" s="9">
        <f>AE146*$E$25</f>
        <v>31.086826875000007</v>
      </c>
      <c r="AH146" s="281">
        <f>AE146</f>
        <v>23.912943750000004</v>
      </c>
      <c r="AI146" s="388">
        <v>5</v>
      </c>
      <c r="AJ146" s="385">
        <v>0.8</v>
      </c>
      <c r="AK146" s="385"/>
      <c r="AL146" s="385"/>
      <c r="AM146" s="9">
        <f>AI146*AJ146*'Carichi unitari'!$C$22</f>
        <v>23.912943750000004</v>
      </c>
      <c r="AN146" s="9"/>
      <c r="AO146" s="9">
        <f>AM146*$E$25</f>
        <v>31.086826875000007</v>
      </c>
      <c r="AP146" s="281">
        <f>AM146</f>
        <v>23.912943750000004</v>
      </c>
      <c r="AQ146" s="388"/>
      <c r="AR146" s="385"/>
      <c r="AS146" s="385"/>
      <c r="AT146" s="385"/>
      <c r="AU146" s="9"/>
      <c r="AV146" s="9"/>
      <c r="AW146" s="9"/>
      <c r="AX146" s="281"/>
    </row>
    <row r="147" spans="2:50" x14ac:dyDescent="0.3">
      <c r="B147" s="383" t="s">
        <v>247</v>
      </c>
      <c r="C147" s="388"/>
      <c r="D147" s="385"/>
      <c r="E147" s="385"/>
      <c r="F147" s="385"/>
      <c r="G147" s="9">
        <f>'Carichi unitari'!$C$23</f>
        <v>16.799999999999997</v>
      </c>
      <c r="H147" s="9"/>
      <c r="I147" s="9">
        <f>G147*$E$25</f>
        <v>21.839999999999996</v>
      </c>
      <c r="J147" s="281">
        <f>G147</f>
        <v>16.799999999999997</v>
      </c>
      <c r="K147" s="388"/>
      <c r="L147" s="385"/>
      <c r="M147" s="385"/>
      <c r="N147" s="385"/>
      <c r="O147" s="9">
        <f>'Carichi unitari'!$C$24</f>
        <v>14.400000000000002</v>
      </c>
      <c r="P147" s="9"/>
      <c r="Q147" s="9">
        <f>O147*$E$25</f>
        <v>18.720000000000002</v>
      </c>
      <c r="R147" s="281">
        <f>O147</f>
        <v>14.400000000000002</v>
      </c>
      <c r="S147" s="388"/>
      <c r="T147" s="385"/>
      <c r="U147" s="385"/>
      <c r="V147" s="385"/>
      <c r="W147" s="9">
        <f>'Carichi unitari'!$C$25</f>
        <v>13.125</v>
      </c>
      <c r="X147" s="9"/>
      <c r="Y147" s="9">
        <f>W147*$E$25</f>
        <v>17.0625</v>
      </c>
      <c r="Z147" s="281">
        <f>W147</f>
        <v>13.125</v>
      </c>
      <c r="AA147" s="388"/>
      <c r="AB147" s="385"/>
      <c r="AC147" s="385"/>
      <c r="AD147" s="385"/>
      <c r="AE147" s="9">
        <f>'Carichi unitari'!$C$25</f>
        <v>13.125</v>
      </c>
      <c r="AF147" s="9"/>
      <c r="AG147" s="9">
        <f>AE147*$E$25</f>
        <v>17.0625</v>
      </c>
      <c r="AH147" s="281">
        <f>AE147</f>
        <v>13.125</v>
      </c>
      <c r="AI147" s="388"/>
      <c r="AJ147" s="385"/>
      <c r="AK147" s="385"/>
      <c r="AL147" s="385"/>
      <c r="AM147" s="9">
        <f>'Carichi unitari'!$C$26</f>
        <v>11.700000000000001</v>
      </c>
      <c r="AN147" s="9"/>
      <c r="AO147" s="9">
        <f>AM147*$E$25</f>
        <v>15.210000000000003</v>
      </c>
      <c r="AP147" s="281">
        <f>AM147</f>
        <v>11.700000000000001</v>
      </c>
      <c r="AQ147" s="388"/>
      <c r="AR147" s="385"/>
      <c r="AS147" s="385"/>
      <c r="AT147" s="385"/>
      <c r="AU147" s="9">
        <f>'Carichi unitari'!$C$26</f>
        <v>11.700000000000001</v>
      </c>
      <c r="AV147" s="9"/>
      <c r="AW147" s="9">
        <f>AU147*$E$25</f>
        <v>15.210000000000003</v>
      </c>
      <c r="AX147" s="281">
        <f>AU147</f>
        <v>11.700000000000001</v>
      </c>
    </row>
    <row r="148" spans="2:50" ht="15" thickBot="1" x14ac:dyDescent="0.35">
      <c r="B148" s="384" t="s">
        <v>380</v>
      </c>
      <c r="C148" s="389"/>
      <c r="D148" s="390"/>
      <c r="E148" s="390"/>
      <c r="F148" s="390"/>
      <c r="G148" s="301"/>
      <c r="H148" s="301"/>
      <c r="I148" s="350">
        <f>SUM(I141:I147)</f>
        <v>210.16427439021916</v>
      </c>
      <c r="J148" s="352">
        <f>SUM(J141:J147)</f>
        <v>142.88021106939937</v>
      </c>
      <c r="K148" s="389"/>
      <c r="L148" s="390"/>
      <c r="M148" s="390"/>
      <c r="N148" s="390"/>
      <c r="O148" s="301"/>
      <c r="P148" s="301"/>
      <c r="Q148" s="350">
        <f>SUM(Q141:Q147)</f>
        <v>248.875044200856</v>
      </c>
      <c r="R148" s="352">
        <f>SUM(R141:R147)</f>
        <v>163.49618784681229</v>
      </c>
      <c r="S148" s="389"/>
      <c r="T148" s="390"/>
      <c r="U148" s="390"/>
      <c r="V148" s="390"/>
      <c r="W148" s="301"/>
      <c r="X148" s="301"/>
      <c r="Y148" s="350">
        <f>SUM(Y141:Y147)</f>
        <v>247.217544200856</v>
      </c>
      <c r="Z148" s="352">
        <f>SUM(Z141:Z147)</f>
        <v>162.22118784681228</v>
      </c>
      <c r="AA148" s="389"/>
      <c r="AB148" s="390"/>
      <c r="AC148" s="390"/>
      <c r="AD148" s="390"/>
      <c r="AE148" s="301"/>
      <c r="AF148" s="301"/>
      <c r="AG148" s="350">
        <f>SUM(AG141:AG147)</f>
        <v>242.09879420085599</v>
      </c>
      <c r="AH148" s="352">
        <f>SUM(AH141:AH147)</f>
        <v>158.28368784681228</v>
      </c>
      <c r="AI148" s="389"/>
      <c r="AJ148" s="390"/>
      <c r="AK148" s="390"/>
      <c r="AL148" s="390"/>
      <c r="AM148" s="301"/>
      <c r="AN148" s="301"/>
      <c r="AO148" s="350">
        <f>SUM(AO141:AO147)</f>
        <v>240.246294200856</v>
      </c>
      <c r="AP148" s="352">
        <f>SUM(AP141:AP147)</f>
        <v>156.85868784681227</v>
      </c>
      <c r="AQ148" s="389"/>
      <c r="AR148" s="390"/>
      <c r="AS148" s="390"/>
      <c r="AT148" s="390"/>
      <c r="AU148" s="301"/>
      <c r="AV148" s="301"/>
      <c r="AW148" s="350">
        <f>SUM(AW141:AW147)</f>
        <v>163.12914707792208</v>
      </c>
      <c r="AX148" s="352">
        <f>SUM(AX141:AX147)</f>
        <v>105.56857467532468</v>
      </c>
    </row>
    <row r="149" spans="2:50" ht="16.2" thickBot="1" x14ac:dyDescent="0.35">
      <c r="C149" s="602" t="s">
        <v>381</v>
      </c>
      <c r="D149" s="603"/>
      <c r="E149" s="603"/>
      <c r="F149" s="603"/>
      <c r="G149" s="603"/>
      <c r="H149" s="603"/>
      <c r="I149" s="603"/>
      <c r="J149" s="603"/>
      <c r="K149" s="602" t="s">
        <v>382</v>
      </c>
      <c r="L149" s="603"/>
      <c r="M149" s="603"/>
      <c r="N149" s="603"/>
      <c r="O149" s="603"/>
      <c r="P149" s="603"/>
      <c r="Q149" s="603"/>
      <c r="R149" s="603"/>
      <c r="S149" s="602" t="s">
        <v>383</v>
      </c>
      <c r="T149" s="603"/>
      <c r="U149" s="603"/>
      <c r="V149" s="603"/>
      <c r="W149" s="603"/>
      <c r="X149" s="603"/>
      <c r="Y149" s="603"/>
      <c r="Z149" s="603"/>
      <c r="AA149" s="602" t="s">
        <v>384</v>
      </c>
      <c r="AB149" s="603"/>
      <c r="AC149" s="603"/>
      <c r="AD149" s="603"/>
      <c r="AE149" s="603"/>
      <c r="AF149" s="603"/>
      <c r="AG149" s="603"/>
      <c r="AH149" s="603"/>
      <c r="AI149" s="602" t="s">
        <v>385</v>
      </c>
      <c r="AJ149" s="603"/>
      <c r="AK149" s="603"/>
      <c r="AL149" s="603"/>
      <c r="AM149" s="603"/>
      <c r="AN149" s="603"/>
      <c r="AO149" s="603"/>
      <c r="AP149" s="603"/>
      <c r="AQ149" s="602" t="s">
        <v>386</v>
      </c>
      <c r="AR149" s="603"/>
      <c r="AS149" s="603"/>
      <c r="AT149" s="603"/>
      <c r="AU149" s="603"/>
      <c r="AV149" s="603"/>
      <c r="AW149" s="603"/>
      <c r="AX149" s="603"/>
    </row>
    <row r="150" spans="2:50" ht="46.2" thickBot="1" x14ac:dyDescent="0.35">
      <c r="B150" s="379" t="s">
        <v>391</v>
      </c>
      <c r="C150" s="313" t="s">
        <v>241</v>
      </c>
      <c r="D150" s="314" t="s">
        <v>242</v>
      </c>
      <c r="E150" s="313" t="s">
        <v>241</v>
      </c>
      <c r="F150" s="314" t="s">
        <v>242</v>
      </c>
      <c r="G150" s="315" t="s">
        <v>8</v>
      </c>
      <c r="H150" s="315" t="s">
        <v>9</v>
      </c>
      <c r="I150" s="316" t="s">
        <v>253</v>
      </c>
      <c r="J150" s="317" t="s">
        <v>254</v>
      </c>
      <c r="K150" s="313" t="s">
        <v>241</v>
      </c>
      <c r="L150" s="314" t="s">
        <v>242</v>
      </c>
      <c r="M150" s="313" t="s">
        <v>241</v>
      </c>
      <c r="N150" s="314" t="s">
        <v>242</v>
      </c>
      <c r="O150" s="315" t="s">
        <v>8</v>
      </c>
      <c r="P150" s="315" t="s">
        <v>9</v>
      </c>
      <c r="Q150" s="316" t="s">
        <v>253</v>
      </c>
      <c r="R150" s="317" t="s">
        <v>254</v>
      </c>
      <c r="S150" s="313" t="s">
        <v>241</v>
      </c>
      <c r="T150" s="314" t="s">
        <v>242</v>
      </c>
      <c r="U150" s="313" t="s">
        <v>241</v>
      </c>
      <c r="V150" s="314" t="s">
        <v>242</v>
      </c>
      <c r="W150" s="315" t="s">
        <v>8</v>
      </c>
      <c r="X150" s="315" t="s">
        <v>9</v>
      </c>
      <c r="Y150" s="316" t="s">
        <v>253</v>
      </c>
      <c r="Z150" s="317" t="s">
        <v>254</v>
      </c>
      <c r="AA150" s="313" t="s">
        <v>241</v>
      </c>
      <c r="AB150" s="314" t="s">
        <v>242</v>
      </c>
      <c r="AC150" s="313" t="s">
        <v>241</v>
      </c>
      <c r="AD150" s="314" t="s">
        <v>242</v>
      </c>
      <c r="AE150" s="315" t="s">
        <v>8</v>
      </c>
      <c r="AF150" s="315" t="s">
        <v>9</v>
      </c>
      <c r="AG150" s="316" t="s">
        <v>253</v>
      </c>
      <c r="AH150" s="317" t="s">
        <v>254</v>
      </c>
      <c r="AI150" s="313" t="s">
        <v>241</v>
      </c>
      <c r="AJ150" s="314" t="s">
        <v>242</v>
      </c>
      <c r="AK150" s="313" t="s">
        <v>241</v>
      </c>
      <c r="AL150" s="314" t="s">
        <v>242</v>
      </c>
      <c r="AM150" s="315" t="s">
        <v>8</v>
      </c>
      <c r="AN150" s="315" t="s">
        <v>9</v>
      </c>
      <c r="AO150" s="316" t="s">
        <v>253</v>
      </c>
      <c r="AP150" s="317" t="s">
        <v>254</v>
      </c>
      <c r="AQ150" s="313" t="s">
        <v>241</v>
      </c>
      <c r="AR150" s="314" t="s">
        <v>242</v>
      </c>
      <c r="AS150" s="313" t="s">
        <v>241</v>
      </c>
      <c r="AT150" s="314" t="s">
        <v>242</v>
      </c>
      <c r="AU150" s="315" t="s">
        <v>8</v>
      </c>
      <c r="AV150" s="315" t="s">
        <v>9</v>
      </c>
      <c r="AW150" s="316" t="s">
        <v>253</v>
      </c>
      <c r="AX150" s="317" t="s">
        <v>254</v>
      </c>
    </row>
    <row r="151" spans="2:50" x14ac:dyDescent="0.3">
      <c r="B151" s="380" t="s">
        <v>42</v>
      </c>
      <c r="C151" s="386">
        <v>2.5</v>
      </c>
      <c r="D151" s="166">
        <v>1</v>
      </c>
      <c r="E151" s="166">
        <v>2</v>
      </c>
      <c r="F151" s="422">
        <v>1</v>
      </c>
      <c r="G151" s="411">
        <f>('Carichi unitari'!$C$11+'Carichi unitari'!$C$10)*C151*D151*E151*F151</f>
        <v>27.509740259740262</v>
      </c>
      <c r="H151" s="357">
        <f>'Carichi unitari'!$D$10*C151*D151*E151*F151</f>
        <v>10</v>
      </c>
      <c r="I151" s="411">
        <f>G151*$E$25+H151*$F$25</f>
        <v>50.762662337662341</v>
      </c>
      <c r="J151" s="421">
        <f>G151+H151*$H$24</f>
        <v>30.509740259740262</v>
      </c>
      <c r="K151" s="165">
        <v>2.5</v>
      </c>
      <c r="L151" s="166">
        <v>1.1000000000000001</v>
      </c>
      <c r="M151" s="166">
        <v>2</v>
      </c>
      <c r="N151" s="422">
        <v>1</v>
      </c>
      <c r="O151" s="378">
        <f>('Carichi unitari'!$C$11+'Carichi unitari'!$C$10)*K151*L151*M151*N151</f>
        <v>30.26071428571429</v>
      </c>
      <c r="P151" s="319">
        <f>'Carichi unitari'!$D$10*K151*L151*M151*N151</f>
        <v>11</v>
      </c>
      <c r="Q151" s="378">
        <f>O151*$E$25+P151*$F$25</f>
        <v>55.838928571428575</v>
      </c>
      <c r="R151" s="320">
        <f>O151+P151*$H$24</f>
        <v>33.56071428571429</v>
      </c>
      <c r="S151" s="165">
        <v>2.5</v>
      </c>
      <c r="T151" s="166">
        <v>1.1000000000000001</v>
      </c>
      <c r="U151" s="166">
        <v>2</v>
      </c>
      <c r="V151" s="422">
        <v>1</v>
      </c>
      <c r="W151" s="378">
        <f>('Carichi unitari'!$C$11+'Carichi unitari'!$C$10)*S151*T151*U151*V151</f>
        <v>30.26071428571429</v>
      </c>
      <c r="X151" s="319">
        <f>'Carichi unitari'!$D$10*S151*T151*U151*V151</f>
        <v>11</v>
      </c>
      <c r="Y151" s="378">
        <f>W151*$E$25+X151*$F$25</f>
        <v>55.838928571428575</v>
      </c>
      <c r="Z151" s="320">
        <f>W151+X151*$H$24</f>
        <v>33.56071428571429</v>
      </c>
      <c r="AA151" s="165">
        <v>2.5</v>
      </c>
      <c r="AB151" s="166">
        <v>1.1000000000000001</v>
      </c>
      <c r="AC151" s="166">
        <v>2</v>
      </c>
      <c r="AD151" s="422">
        <v>1</v>
      </c>
      <c r="AE151" s="378">
        <f>('Carichi unitari'!$C$11+'Carichi unitari'!$C$10)*AA151*AB151*AC151*AD151</f>
        <v>30.26071428571429</v>
      </c>
      <c r="AF151" s="319">
        <f>'Carichi unitari'!$D$10*AA151*AB151*AC151*AD151</f>
        <v>11</v>
      </c>
      <c r="AG151" s="378">
        <f>AE151*$E$25+AF151*$F$25</f>
        <v>55.838928571428575</v>
      </c>
      <c r="AH151" s="320">
        <f>AE151+AF151*$H$24</f>
        <v>33.56071428571429</v>
      </c>
      <c r="AI151" s="165">
        <v>2.5</v>
      </c>
      <c r="AJ151" s="166">
        <v>1.1000000000000001</v>
      </c>
      <c r="AK151" s="166">
        <v>2</v>
      </c>
      <c r="AL151" s="422">
        <v>1</v>
      </c>
      <c r="AM151" s="378">
        <f>('Carichi unitari'!$C$11+'Carichi unitari'!$C$10)*AI151*AJ151*AK151*AL151</f>
        <v>30.26071428571429</v>
      </c>
      <c r="AN151" s="319">
        <f>'Carichi unitari'!$D$10*AI151*AJ151*AK151*AL151</f>
        <v>11</v>
      </c>
      <c r="AO151" s="378">
        <f>AM151*$E$25+AN151*$F$25</f>
        <v>55.838928571428575</v>
      </c>
      <c r="AP151" s="320">
        <f>AM151+AN151*$H$24</f>
        <v>33.56071428571429</v>
      </c>
      <c r="AQ151" s="165">
        <v>2.5</v>
      </c>
      <c r="AR151" s="166">
        <v>1.1000000000000001</v>
      </c>
      <c r="AS151" s="166">
        <v>2</v>
      </c>
      <c r="AT151" s="422">
        <v>1</v>
      </c>
      <c r="AU151" s="378">
        <f>('Carichi unitari'!$C$11+'Carichi unitari'!$C$10)*AQ151*AR151*AS151*AT151</f>
        <v>30.26071428571429</v>
      </c>
      <c r="AV151" s="319">
        <f>'Carichi unitari'!$D$10*AQ151*AR151*AS151*AT151</f>
        <v>11</v>
      </c>
      <c r="AW151" s="378">
        <f>AU151*$E$25+AV151*$F$25</f>
        <v>55.838928571428575</v>
      </c>
      <c r="AX151" s="320">
        <f>AU151+AV151*$H$24</f>
        <v>33.56071428571429</v>
      </c>
    </row>
    <row r="152" spans="2:50" x14ac:dyDescent="0.3">
      <c r="B152" s="382" t="s">
        <v>7</v>
      </c>
      <c r="C152" s="388">
        <v>2.2999999999999998</v>
      </c>
      <c r="D152" s="414">
        <v>1</v>
      </c>
      <c r="E152" s="414">
        <v>2.5</v>
      </c>
      <c r="F152" s="424">
        <v>1</v>
      </c>
      <c r="G152" s="412">
        <f>C152*D152*E152*F152*'Carichi unitari'!$C$16</f>
        <v>40.527150000000006</v>
      </c>
      <c r="H152" s="358">
        <f>C152*D152*E152*F152*'Carichi unitari'!$D$14</f>
        <v>23</v>
      </c>
      <c r="I152" s="412">
        <f>G152*$E$25+H152*$F$25</f>
        <v>87.185295000000011</v>
      </c>
      <c r="J152" s="417">
        <f>G152+H152*$I$24</f>
        <v>54.327150000000003</v>
      </c>
      <c r="K152" s="413">
        <v>2.2999999999999998</v>
      </c>
      <c r="L152" s="414">
        <v>1</v>
      </c>
      <c r="M152" s="414">
        <v>2.5</v>
      </c>
      <c r="N152" s="424">
        <v>1</v>
      </c>
      <c r="O152" s="329">
        <f>K152*L152*M152*N152*'Carichi unitari'!$C$16</f>
        <v>40.527150000000006</v>
      </c>
      <c r="P152" s="9">
        <f>K152*L152*M152*N152*'Carichi unitari'!$D$14</f>
        <v>23</v>
      </c>
      <c r="Q152" s="412">
        <f>O152*$E$25+P152*$F$25</f>
        <v>87.185295000000011</v>
      </c>
      <c r="R152" s="417">
        <f>O152+P152*$I$24</f>
        <v>54.327150000000003</v>
      </c>
      <c r="S152" s="413">
        <v>2.2999999999999998</v>
      </c>
      <c r="T152" s="414">
        <v>1</v>
      </c>
      <c r="U152" s="414">
        <v>2.5</v>
      </c>
      <c r="V152" s="424">
        <v>1</v>
      </c>
      <c r="W152" s="329">
        <f>S152*T152*U152*V152*'Carichi unitari'!$C$16</f>
        <v>40.527150000000006</v>
      </c>
      <c r="X152" s="9">
        <f>S152*T152*U152*V152*'Carichi unitari'!$D$14</f>
        <v>23</v>
      </c>
      <c r="Y152" s="412">
        <f>W152*$E$25+X152*$F$25</f>
        <v>87.185295000000011</v>
      </c>
      <c r="Z152" s="417">
        <f>W152+X152*$I$24</f>
        <v>54.327150000000003</v>
      </c>
      <c r="AA152" s="413">
        <v>2.2999999999999998</v>
      </c>
      <c r="AB152" s="414">
        <v>1</v>
      </c>
      <c r="AC152" s="414">
        <v>2.5</v>
      </c>
      <c r="AD152" s="424">
        <v>1</v>
      </c>
      <c r="AE152" s="329">
        <f>AA152*AB152*AC152*AD152*'Carichi unitari'!$C$16</f>
        <v>40.527150000000006</v>
      </c>
      <c r="AF152" s="9">
        <f>AA152*AB152*AC152*AD152*'Carichi unitari'!$D$14</f>
        <v>23</v>
      </c>
      <c r="AG152" s="412">
        <f>AE152*$E$25+AF152*$F$25</f>
        <v>87.185295000000011</v>
      </c>
      <c r="AH152" s="417">
        <f>AE152+AF152*$I$24</f>
        <v>54.327150000000003</v>
      </c>
      <c r="AI152" s="413">
        <v>2.2999999999999998</v>
      </c>
      <c r="AJ152" s="414">
        <v>1</v>
      </c>
      <c r="AK152" s="414">
        <v>2.5</v>
      </c>
      <c r="AL152" s="424">
        <v>1</v>
      </c>
      <c r="AM152" s="329">
        <f>AI152*AJ152*AK152*AL152*'Carichi unitari'!$C$16</f>
        <v>40.527150000000006</v>
      </c>
      <c r="AN152" s="9">
        <f>AI152*AJ152*AK152*AL152*'Carichi unitari'!$D$14</f>
        <v>23</v>
      </c>
      <c r="AO152" s="412">
        <f>AM152*$E$25+AN152*$F$25</f>
        <v>87.185295000000011</v>
      </c>
      <c r="AP152" s="417">
        <f>AM152+AN152*$I$24</f>
        <v>54.327150000000003</v>
      </c>
      <c r="AQ152" s="413">
        <v>2.2999999999999998</v>
      </c>
      <c r="AR152" s="414">
        <v>1</v>
      </c>
      <c r="AS152" s="414">
        <v>2.5</v>
      </c>
      <c r="AT152" s="424">
        <v>1</v>
      </c>
      <c r="AU152" s="329">
        <f>AQ152*AR152*AS152*AT152*'Carichi unitari'!$C$16</f>
        <v>40.527150000000006</v>
      </c>
      <c r="AV152" s="9">
        <f>AQ152*AR152*AS152*AT152*'Carichi unitari'!$D$14</f>
        <v>23</v>
      </c>
      <c r="AW152" s="412">
        <f>AU152*$E$25+AV152*$F$25</f>
        <v>87.185295000000011</v>
      </c>
      <c r="AX152" s="417">
        <f>AU152+AV152*$I$24</f>
        <v>54.327150000000003</v>
      </c>
    </row>
    <row r="153" spans="2:50" x14ac:dyDescent="0.3">
      <c r="B153" s="381" t="s">
        <v>45</v>
      </c>
      <c r="C153" s="37"/>
      <c r="D153" s="50"/>
      <c r="E153" s="50"/>
      <c r="F153" s="50"/>
      <c r="G153" s="358"/>
      <c r="H153" s="358"/>
      <c r="I153" s="358"/>
      <c r="J153" s="417"/>
      <c r="K153" s="171"/>
      <c r="L153" s="50"/>
      <c r="M153" s="50"/>
      <c r="N153" s="50"/>
      <c r="O153" s="9">
        <f>'Carichi unitari'!$C$14*K153*M153</f>
        <v>0</v>
      </c>
      <c r="P153" s="9">
        <f>K153*M153*'Carichi unitari'!$D$14</f>
        <v>0</v>
      </c>
      <c r="Q153" s="9">
        <f>O153*$E$25+P153*$F$25</f>
        <v>0</v>
      </c>
      <c r="R153" s="281">
        <f>O153+P153*$I$24</f>
        <v>0</v>
      </c>
      <c r="S153" s="171"/>
      <c r="T153" s="50"/>
      <c r="U153" s="50"/>
      <c r="V153" s="50"/>
      <c r="W153" s="9">
        <f>'Carichi unitari'!$C$14*S153*U153</f>
        <v>0</v>
      </c>
      <c r="X153" s="9">
        <f>S153*U153*'Carichi unitari'!$D$14</f>
        <v>0</v>
      </c>
      <c r="Y153" s="9">
        <f>W153*$E$25+X153*$F$25</f>
        <v>0</v>
      </c>
      <c r="Z153" s="281">
        <f>W153+X153*$I$24</f>
        <v>0</v>
      </c>
      <c r="AA153" s="171"/>
      <c r="AB153" s="50"/>
      <c r="AC153" s="50"/>
      <c r="AD153" s="50"/>
      <c r="AE153" s="9">
        <f>'Carichi unitari'!$C$14*AA153*AC153</f>
        <v>0</v>
      </c>
      <c r="AF153" s="9">
        <f>AA153*AC153*'Carichi unitari'!$D$14</f>
        <v>0</v>
      </c>
      <c r="AG153" s="9">
        <f>AE153*$E$25+AF153*$F$25</f>
        <v>0</v>
      </c>
      <c r="AH153" s="281">
        <f>AE153+AF153*$I$24</f>
        <v>0</v>
      </c>
      <c r="AI153" s="171"/>
      <c r="AJ153" s="50"/>
      <c r="AK153" s="50"/>
      <c r="AL153" s="50"/>
      <c r="AM153" s="9">
        <f>'Carichi unitari'!$C$14*AI153*AK153</f>
        <v>0</v>
      </c>
      <c r="AN153" s="9">
        <f>AI153*AK153*'Carichi unitari'!$D$14</f>
        <v>0</v>
      </c>
      <c r="AO153" s="9">
        <f>AM153*$E$25+AN153*$F$25</f>
        <v>0</v>
      </c>
      <c r="AP153" s="281">
        <f>AM153+AN153*$I$24</f>
        <v>0</v>
      </c>
      <c r="AQ153" s="171"/>
      <c r="AR153" s="50"/>
      <c r="AS153" s="50"/>
      <c r="AT153" s="50"/>
      <c r="AU153" s="9">
        <f>'Carichi unitari'!C134*AQ153*AS153</f>
        <v>0</v>
      </c>
      <c r="AV153" s="9">
        <f>AQ153*AS153*'Carichi unitari'!$D$15</f>
        <v>0</v>
      </c>
      <c r="AW153" s="9">
        <f>AU153*$E$25+AV153*$F$25</f>
        <v>0</v>
      </c>
      <c r="AX153" s="281">
        <f>AU153+AV153*$I$24</f>
        <v>0</v>
      </c>
    </row>
    <row r="154" spans="2:50" x14ac:dyDescent="0.3">
      <c r="B154" s="383" t="s">
        <v>358</v>
      </c>
      <c r="C154" s="388">
        <v>4.3</v>
      </c>
      <c r="D154" s="414">
        <v>1</v>
      </c>
      <c r="E154" s="414">
        <v>2.5</v>
      </c>
      <c r="F154" s="414">
        <v>1</v>
      </c>
      <c r="G154" s="416">
        <f>(C154*D154+E154*F154)*'Carichi unitari'!$C$17</f>
        <v>33.925376623376621</v>
      </c>
      <c r="H154" s="416"/>
      <c r="I154" s="416">
        <f>G154*$E$25</f>
        <v>44.102989610389606</v>
      </c>
      <c r="J154" s="418">
        <f>G154</f>
        <v>33.925376623376621</v>
      </c>
      <c r="K154" s="413">
        <v>4.3</v>
      </c>
      <c r="L154" s="414">
        <v>1</v>
      </c>
      <c r="M154" s="414">
        <v>2.5</v>
      </c>
      <c r="N154" s="414">
        <v>1.1000000000000001</v>
      </c>
      <c r="O154" s="16">
        <f>(K154*L154+M154*N154)*'Carichi unitari'!$C$17</f>
        <v>35.172633116883119</v>
      </c>
      <c r="P154" s="16"/>
      <c r="Q154" s="16">
        <f>O154*$E$25</f>
        <v>45.724423051948058</v>
      </c>
      <c r="R154" s="356">
        <f>O154</f>
        <v>35.172633116883119</v>
      </c>
      <c r="S154" s="413">
        <v>4.3</v>
      </c>
      <c r="T154" s="414">
        <v>1</v>
      </c>
      <c r="U154" s="414">
        <v>2.5</v>
      </c>
      <c r="V154" s="414">
        <v>1.1000000000000001</v>
      </c>
      <c r="W154" s="16">
        <f>(S154*T154+U154*V154)*'Carichi unitari'!$C$17</f>
        <v>35.172633116883119</v>
      </c>
      <c r="X154" s="16"/>
      <c r="Y154" s="16">
        <f>W154*$E$25</f>
        <v>45.724423051948058</v>
      </c>
      <c r="Z154" s="356">
        <f>W154</f>
        <v>35.172633116883119</v>
      </c>
      <c r="AA154" s="413">
        <v>4.3</v>
      </c>
      <c r="AB154" s="414">
        <v>1</v>
      </c>
      <c r="AC154" s="414">
        <v>2.5</v>
      </c>
      <c r="AD154" s="414">
        <v>1.1000000000000001</v>
      </c>
      <c r="AE154" s="16">
        <f>(AA154*AB154+AC154*AD154)*'Carichi unitari'!$C$18</f>
        <v>29.885133116883111</v>
      </c>
      <c r="AF154" s="16"/>
      <c r="AG154" s="16">
        <f>AE154*$E$25</f>
        <v>38.850673051948043</v>
      </c>
      <c r="AH154" s="356">
        <f>AE154</f>
        <v>29.885133116883111</v>
      </c>
      <c r="AI154" s="413">
        <v>4.3</v>
      </c>
      <c r="AJ154" s="414">
        <v>1</v>
      </c>
      <c r="AK154" s="414">
        <v>2.5</v>
      </c>
      <c r="AL154" s="414">
        <v>1.1000000000000001</v>
      </c>
      <c r="AM154" s="16">
        <f>(AI154*AJ154+AK154*AL154)*'Carichi unitari'!$C$18</f>
        <v>29.885133116883111</v>
      </c>
      <c r="AN154" s="16"/>
      <c r="AO154" s="16">
        <f>AM154*$E$25</f>
        <v>38.850673051948043</v>
      </c>
      <c r="AP154" s="356">
        <f>AM154</f>
        <v>29.885133116883111</v>
      </c>
      <c r="AQ154" s="413">
        <v>4.3</v>
      </c>
      <c r="AR154" s="414">
        <v>1</v>
      </c>
      <c r="AS154" s="414">
        <v>2.5</v>
      </c>
      <c r="AT154" s="414">
        <v>1.1000000000000001</v>
      </c>
      <c r="AU154" s="16">
        <f>(AQ154*AR154+AS154*AT154)*'Carichi unitari'!$C$19</f>
        <v>24.59763311688312</v>
      </c>
      <c r="AV154" s="16"/>
      <c r="AW154" s="16">
        <f>AU154*$E$25</f>
        <v>31.976923051948056</v>
      </c>
      <c r="AX154" s="356">
        <f>AU154</f>
        <v>24.59763311688312</v>
      </c>
    </row>
    <row r="155" spans="2:50" x14ac:dyDescent="0.3">
      <c r="B155" s="383" t="s">
        <v>359</v>
      </c>
      <c r="C155" s="388"/>
      <c r="D155" s="385"/>
      <c r="E155" s="385"/>
      <c r="F155" s="414"/>
      <c r="G155" s="358"/>
      <c r="H155" s="358"/>
      <c r="I155" s="358"/>
      <c r="J155" s="417"/>
      <c r="K155" s="413"/>
      <c r="L155" s="414"/>
      <c r="M155" s="414"/>
      <c r="N155" s="414"/>
      <c r="O155" s="9"/>
      <c r="P155" s="9"/>
      <c r="Q155" s="9"/>
      <c r="R155" s="281"/>
      <c r="S155" s="413"/>
      <c r="T155" s="414"/>
      <c r="U155" s="414"/>
      <c r="V155" s="414"/>
      <c r="W155" s="9"/>
      <c r="X155" s="9"/>
      <c r="Y155" s="9"/>
      <c r="Z155" s="281"/>
      <c r="AA155" s="413"/>
      <c r="AB155" s="414"/>
      <c r="AC155" s="414"/>
      <c r="AD155" s="414"/>
      <c r="AE155" s="9"/>
      <c r="AF155" s="9"/>
      <c r="AG155" s="9"/>
      <c r="AH155" s="281"/>
      <c r="AI155" s="413"/>
      <c r="AJ155" s="414"/>
      <c r="AK155" s="414"/>
      <c r="AL155" s="414"/>
      <c r="AM155" s="9"/>
      <c r="AN155" s="9"/>
      <c r="AO155" s="9"/>
      <c r="AP155" s="281"/>
      <c r="AQ155" s="413"/>
      <c r="AR155" s="414"/>
      <c r="AS155" s="414"/>
      <c r="AT155" s="414"/>
      <c r="AU155" s="9"/>
      <c r="AV155" s="9"/>
      <c r="AW155" s="9"/>
      <c r="AX155" s="281"/>
    </row>
    <row r="156" spans="2:50" x14ac:dyDescent="0.3">
      <c r="B156" s="382" t="s">
        <v>357</v>
      </c>
      <c r="C156" s="388">
        <v>6.8</v>
      </c>
      <c r="D156" s="385">
        <v>0.9</v>
      </c>
      <c r="E156" s="385"/>
      <c r="F156" s="385"/>
      <c r="G156" s="9">
        <f>C156*D156*'Carichi unitari'!$C$22</f>
        <v>36.586803937500008</v>
      </c>
      <c r="H156" s="9"/>
      <c r="I156" s="9">
        <f>G156*$E$25</f>
        <v>47.562845118750012</v>
      </c>
      <c r="J156" s="281">
        <f>G156</f>
        <v>36.586803937500008</v>
      </c>
      <c r="K156" s="388">
        <v>6.8</v>
      </c>
      <c r="L156" s="385">
        <v>0.8</v>
      </c>
      <c r="M156" s="385"/>
      <c r="N156" s="385"/>
      <c r="O156" s="9">
        <f>K156*L156*'Carichi unitari'!$C$22</f>
        <v>32.521603500000005</v>
      </c>
      <c r="P156" s="9"/>
      <c r="Q156" s="9">
        <f>O156*$E$25</f>
        <v>42.27808455000001</v>
      </c>
      <c r="R156" s="281">
        <f>O156</f>
        <v>32.521603500000005</v>
      </c>
      <c r="S156" s="388">
        <v>6.8</v>
      </c>
      <c r="T156" s="385">
        <v>0.8</v>
      </c>
      <c r="U156" s="385"/>
      <c r="V156" s="385"/>
      <c r="W156" s="9">
        <f>S156*T156*'Carichi unitari'!$C$22</f>
        <v>32.521603500000005</v>
      </c>
      <c r="X156" s="9"/>
      <c r="Y156" s="9">
        <f>W156*$E$25</f>
        <v>42.27808455000001</v>
      </c>
      <c r="Z156" s="281">
        <f>W156</f>
        <v>32.521603500000005</v>
      </c>
      <c r="AA156" s="388">
        <v>6.8</v>
      </c>
      <c r="AB156" s="385">
        <v>0.8</v>
      </c>
      <c r="AC156" s="385"/>
      <c r="AD156" s="385"/>
      <c r="AE156" s="9">
        <f>AA156*AB156*'Carichi unitari'!$C$22</f>
        <v>32.521603500000005</v>
      </c>
      <c r="AF156" s="9"/>
      <c r="AG156" s="9">
        <f>AE156*$E$25</f>
        <v>42.27808455000001</v>
      </c>
      <c r="AH156" s="281">
        <f>AE156</f>
        <v>32.521603500000005</v>
      </c>
      <c r="AI156" s="388">
        <v>6.8</v>
      </c>
      <c r="AJ156" s="385">
        <v>0.8</v>
      </c>
      <c r="AK156" s="385"/>
      <c r="AL156" s="385"/>
      <c r="AM156" s="9">
        <f>AI156*AJ156*'Carichi unitari'!$C$22</f>
        <v>32.521603500000005</v>
      </c>
      <c r="AN156" s="9"/>
      <c r="AO156" s="9">
        <f>AM156*$E$25</f>
        <v>42.27808455000001</v>
      </c>
      <c r="AP156" s="281">
        <f>AM156</f>
        <v>32.521603500000005</v>
      </c>
      <c r="AQ156" s="388"/>
      <c r="AR156" s="385"/>
      <c r="AS156" s="385"/>
      <c r="AT156" s="385"/>
      <c r="AU156" s="9"/>
      <c r="AV156" s="9"/>
      <c r="AW156" s="9"/>
      <c r="AX156" s="281"/>
    </row>
    <row r="157" spans="2:50" x14ac:dyDescent="0.3">
      <c r="B157" s="383" t="s">
        <v>247</v>
      </c>
      <c r="C157" s="388"/>
      <c r="D157" s="385"/>
      <c r="E157" s="385"/>
      <c r="F157" s="385"/>
      <c r="G157" s="9">
        <f>'Carichi unitari'!$C$23</f>
        <v>16.799999999999997</v>
      </c>
      <c r="H157" s="9"/>
      <c r="I157" s="9">
        <f>G157*$E$25</f>
        <v>21.839999999999996</v>
      </c>
      <c r="J157" s="281">
        <f>G157</f>
        <v>16.799999999999997</v>
      </c>
      <c r="K157" s="388"/>
      <c r="L157" s="385"/>
      <c r="M157" s="385"/>
      <c r="N157" s="385"/>
      <c r="O157" s="9">
        <f>'Carichi unitari'!$C$24</f>
        <v>14.400000000000002</v>
      </c>
      <c r="P157" s="9"/>
      <c r="Q157" s="9">
        <f>O157*$E$25</f>
        <v>18.720000000000002</v>
      </c>
      <c r="R157" s="281">
        <f>O157</f>
        <v>14.400000000000002</v>
      </c>
      <c r="S157" s="388"/>
      <c r="T157" s="385"/>
      <c r="U157" s="385"/>
      <c r="V157" s="385"/>
      <c r="W157" s="9">
        <f>'Carichi unitari'!$C$25</f>
        <v>13.125</v>
      </c>
      <c r="X157" s="9"/>
      <c r="Y157" s="9">
        <f>W157*$E$25</f>
        <v>17.0625</v>
      </c>
      <c r="Z157" s="281">
        <f>W157</f>
        <v>13.125</v>
      </c>
      <c r="AA157" s="388"/>
      <c r="AB157" s="385"/>
      <c r="AC157" s="385"/>
      <c r="AD157" s="385"/>
      <c r="AE157" s="9">
        <f>'Carichi unitari'!$C$25</f>
        <v>13.125</v>
      </c>
      <c r="AF157" s="9"/>
      <c r="AG157" s="9">
        <f>AE157*$E$25</f>
        <v>17.0625</v>
      </c>
      <c r="AH157" s="281">
        <f>AE157</f>
        <v>13.125</v>
      </c>
      <c r="AI157" s="388"/>
      <c r="AJ157" s="385"/>
      <c r="AK157" s="385"/>
      <c r="AL157" s="385"/>
      <c r="AM157" s="9">
        <f>'Carichi unitari'!$C$26</f>
        <v>11.700000000000001</v>
      </c>
      <c r="AN157" s="9"/>
      <c r="AO157" s="9">
        <f>AM157*$E$25</f>
        <v>15.210000000000003</v>
      </c>
      <c r="AP157" s="281">
        <f>AM157</f>
        <v>11.700000000000001</v>
      </c>
      <c r="AQ157" s="388"/>
      <c r="AR157" s="385"/>
      <c r="AS157" s="385"/>
      <c r="AT157" s="385"/>
      <c r="AU157" s="9">
        <f>'Carichi unitari'!$C$26</f>
        <v>11.700000000000001</v>
      </c>
      <c r="AV157" s="9"/>
      <c r="AW157" s="9">
        <f>AU157*$E$25</f>
        <v>15.210000000000003</v>
      </c>
      <c r="AX157" s="281">
        <f>AU157</f>
        <v>11.700000000000001</v>
      </c>
    </row>
    <row r="158" spans="2:50" ht="15" thickBot="1" x14ac:dyDescent="0.35">
      <c r="B158" s="384" t="s">
        <v>380</v>
      </c>
      <c r="C158" s="389"/>
      <c r="D158" s="390"/>
      <c r="E158" s="390"/>
      <c r="F158" s="390"/>
      <c r="G158" s="301"/>
      <c r="H158" s="301"/>
      <c r="I158" s="350">
        <f>SUM(I151:I157)</f>
        <v>251.45379206680198</v>
      </c>
      <c r="J158" s="352">
        <f>SUM(J151:J157)</f>
        <v>172.14907082061688</v>
      </c>
      <c r="K158" s="389"/>
      <c r="L158" s="390"/>
      <c r="M158" s="390"/>
      <c r="N158" s="390"/>
      <c r="O158" s="301"/>
      <c r="P158" s="301"/>
      <c r="Q158" s="350">
        <f>SUM(Q151:Q157)</f>
        <v>249.74673117337667</v>
      </c>
      <c r="R158" s="352">
        <f>SUM(R151:R157)</f>
        <v>169.98210090259744</v>
      </c>
      <c r="S158" s="389"/>
      <c r="T158" s="390"/>
      <c r="U158" s="390"/>
      <c r="V158" s="390"/>
      <c r="W158" s="301"/>
      <c r="X158" s="301"/>
      <c r="Y158" s="350">
        <f>SUM(Y151:Y157)</f>
        <v>248.08923117337667</v>
      </c>
      <c r="Z158" s="352">
        <f>SUM(Z151:Z157)</f>
        <v>168.70710090259743</v>
      </c>
      <c r="AA158" s="389"/>
      <c r="AB158" s="390"/>
      <c r="AC158" s="390"/>
      <c r="AD158" s="390"/>
      <c r="AE158" s="301"/>
      <c r="AF158" s="301"/>
      <c r="AG158" s="350">
        <f>SUM(AG151:AG157)</f>
        <v>241.21548117337665</v>
      </c>
      <c r="AH158" s="352">
        <f>SUM(AH151:AH157)</f>
        <v>163.41960090259741</v>
      </c>
      <c r="AI158" s="389"/>
      <c r="AJ158" s="390"/>
      <c r="AK158" s="390"/>
      <c r="AL158" s="390"/>
      <c r="AM158" s="301"/>
      <c r="AN158" s="301"/>
      <c r="AO158" s="350">
        <f>SUM(AO151:AO157)</f>
        <v>239.36298117337665</v>
      </c>
      <c r="AP158" s="352">
        <f>SUM(AP151:AP157)</f>
        <v>161.9946009025974</v>
      </c>
      <c r="AQ158" s="389"/>
      <c r="AR158" s="390"/>
      <c r="AS158" s="390"/>
      <c r="AT158" s="390"/>
      <c r="AU158" s="301"/>
      <c r="AV158" s="301"/>
      <c r="AW158" s="350">
        <f>SUM(AW151:AW157)</f>
        <v>190.21114662337666</v>
      </c>
      <c r="AX158" s="352">
        <f>SUM(AX151:AX157)</f>
        <v>124.18549740259742</v>
      </c>
    </row>
    <row r="159" spans="2:50" ht="16.2" thickBot="1" x14ac:dyDescent="0.35">
      <c r="C159" s="602" t="s">
        <v>381</v>
      </c>
      <c r="D159" s="603"/>
      <c r="E159" s="603"/>
      <c r="F159" s="603"/>
      <c r="G159" s="603"/>
      <c r="H159" s="603"/>
      <c r="I159" s="603"/>
      <c r="J159" s="603"/>
      <c r="K159" s="602" t="s">
        <v>382</v>
      </c>
      <c r="L159" s="603"/>
      <c r="M159" s="603"/>
      <c r="N159" s="603"/>
      <c r="O159" s="603"/>
      <c r="P159" s="603"/>
      <c r="Q159" s="603"/>
      <c r="R159" s="603"/>
      <c r="S159" s="602" t="s">
        <v>383</v>
      </c>
      <c r="T159" s="603"/>
      <c r="U159" s="603"/>
      <c r="V159" s="603"/>
      <c r="W159" s="603"/>
      <c r="X159" s="603"/>
      <c r="Y159" s="603"/>
      <c r="Z159" s="603"/>
      <c r="AA159" s="602" t="s">
        <v>384</v>
      </c>
      <c r="AB159" s="603"/>
      <c r="AC159" s="603"/>
      <c r="AD159" s="603"/>
      <c r="AE159" s="603"/>
      <c r="AF159" s="603"/>
      <c r="AG159" s="603"/>
      <c r="AH159" s="603"/>
      <c r="AI159" s="602" t="s">
        <v>385</v>
      </c>
      <c r="AJ159" s="603"/>
      <c r="AK159" s="603"/>
      <c r="AL159" s="603"/>
      <c r="AM159" s="603"/>
      <c r="AN159" s="603"/>
      <c r="AO159" s="603"/>
      <c r="AP159" s="603"/>
      <c r="AQ159" s="602" t="s">
        <v>386</v>
      </c>
      <c r="AR159" s="603"/>
      <c r="AS159" s="603"/>
      <c r="AT159" s="603"/>
      <c r="AU159" s="603"/>
      <c r="AV159" s="603"/>
      <c r="AW159" s="603"/>
      <c r="AX159" s="603"/>
    </row>
    <row r="160" spans="2:50" ht="46.2" thickBot="1" x14ac:dyDescent="0.35">
      <c r="B160" s="379" t="s">
        <v>390</v>
      </c>
      <c r="C160" s="313" t="s">
        <v>241</v>
      </c>
      <c r="D160" s="314" t="s">
        <v>242</v>
      </c>
      <c r="E160" s="313" t="s">
        <v>241</v>
      </c>
      <c r="F160" s="314" t="s">
        <v>242</v>
      </c>
      <c r="G160" s="315" t="s">
        <v>8</v>
      </c>
      <c r="H160" s="315" t="s">
        <v>9</v>
      </c>
      <c r="I160" s="316" t="s">
        <v>253</v>
      </c>
      <c r="J160" s="317" t="s">
        <v>254</v>
      </c>
      <c r="K160" s="313" t="s">
        <v>241</v>
      </c>
      <c r="L160" s="314" t="s">
        <v>242</v>
      </c>
      <c r="M160" s="313" t="s">
        <v>241</v>
      </c>
      <c r="N160" s="314" t="s">
        <v>242</v>
      </c>
      <c r="O160" s="315" t="s">
        <v>8</v>
      </c>
      <c r="P160" s="315" t="s">
        <v>9</v>
      </c>
      <c r="Q160" s="316" t="s">
        <v>253</v>
      </c>
      <c r="R160" s="317" t="s">
        <v>254</v>
      </c>
      <c r="S160" s="313" t="s">
        <v>241</v>
      </c>
      <c r="T160" s="314" t="s">
        <v>242</v>
      </c>
      <c r="U160" s="313" t="s">
        <v>241</v>
      </c>
      <c r="V160" s="314" t="s">
        <v>242</v>
      </c>
      <c r="W160" s="315" t="s">
        <v>8</v>
      </c>
      <c r="X160" s="315" t="s">
        <v>9</v>
      </c>
      <c r="Y160" s="316" t="s">
        <v>253</v>
      </c>
      <c r="Z160" s="317" t="s">
        <v>254</v>
      </c>
      <c r="AA160" s="313" t="s">
        <v>241</v>
      </c>
      <c r="AB160" s="314" t="s">
        <v>242</v>
      </c>
      <c r="AC160" s="313" t="s">
        <v>241</v>
      </c>
      <c r="AD160" s="314" t="s">
        <v>242</v>
      </c>
      <c r="AE160" s="315" t="s">
        <v>8</v>
      </c>
      <c r="AF160" s="315" t="s">
        <v>9</v>
      </c>
      <c r="AG160" s="316" t="s">
        <v>253</v>
      </c>
      <c r="AH160" s="317" t="s">
        <v>254</v>
      </c>
      <c r="AI160" s="313" t="s">
        <v>241</v>
      </c>
      <c r="AJ160" s="314" t="s">
        <v>242</v>
      </c>
      <c r="AK160" s="313" t="s">
        <v>241</v>
      </c>
      <c r="AL160" s="314" t="s">
        <v>242</v>
      </c>
      <c r="AM160" s="315" t="s">
        <v>8</v>
      </c>
      <c r="AN160" s="315" t="s">
        <v>9</v>
      </c>
      <c r="AO160" s="316" t="s">
        <v>253</v>
      </c>
      <c r="AP160" s="317" t="s">
        <v>254</v>
      </c>
      <c r="AQ160" s="313" t="s">
        <v>241</v>
      </c>
      <c r="AR160" s="314" t="s">
        <v>242</v>
      </c>
      <c r="AS160" s="313" t="s">
        <v>241</v>
      </c>
      <c r="AT160" s="314" t="s">
        <v>242</v>
      </c>
      <c r="AU160" s="315" t="s">
        <v>8</v>
      </c>
      <c r="AV160" s="315" t="s">
        <v>9</v>
      </c>
      <c r="AW160" s="316" t="s">
        <v>253</v>
      </c>
      <c r="AX160" s="317" t="s">
        <v>254</v>
      </c>
    </row>
    <row r="161" spans="2:50" x14ac:dyDescent="0.3">
      <c r="B161" s="380" t="s">
        <v>42</v>
      </c>
      <c r="C161" s="386">
        <v>2.5</v>
      </c>
      <c r="D161" s="387">
        <v>1</v>
      </c>
      <c r="E161" s="166">
        <v>2.5</v>
      </c>
      <c r="F161" s="422">
        <v>1.2</v>
      </c>
      <c r="G161" s="411">
        <f>('Carichi unitari'!$C$11+'Carichi unitari'!$C$10)*C161*D161*E161*F161</f>
        <v>41.26461038961039</v>
      </c>
      <c r="H161" s="357">
        <f>'Carichi unitari'!$D$10*C161*D161*E161*F161</f>
        <v>15</v>
      </c>
      <c r="I161" s="411">
        <f>G161*$E$25+H161*$F$25</f>
        <v>76.143993506493501</v>
      </c>
      <c r="J161" s="421">
        <f>G161+H161*$H$24</f>
        <v>45.76461038961039</v>
      </c>
      <c r="K161" s="165">
        <v>2.5</v>
      </c>
      <c r="L161" s="166">
        <v>1</v>
      </c>
      <c r="M161" s="166">
        <v>2.5</v>
      </c>
      <c r="N161" s="422">
        <v>1.1000000000000001</v>
      </c>
      <c r="O161" s="378">
        <f>('Carichi unitari'!$C$11+'Carichi unitari'!$C$10)*K161*L161*M161*N161</f>
        <v>37.825892857142861</v>
      </c>
      <c r="P161" s="319">
        <f>'Carichi unitari'!$D$10*K161*L161*M161*N161</f>
        <v>13.750000000000002</v>
      </c>
      <c r="Q161" s="378">
        <f>O161*$E$25+P161*$F$25</f>
        <v>69.798660714285731</v>
      </c>
      <c r="R161" s="320">
        <f>O161+P161*$H$24</f>
        <v>41.950892857142861</v>
      </c>
      <c r="S161" s="165">
        <v>2.5</v>
      </c>
      <c r="T161" s="166">
        <v>1</v>
      </c>
      <c r="U161" s="166">
        <v>2.5</v>
      </c>
      <c r="V161" s="422">
        <v>1.1000000000000001</v>
      </c>
      <c r="W161" s="378">
        <f>('Carichi unitari'!$C$11+'Carichi unitari'!$C$10)*S161*T161*U161*V161</f>
        <v>37.825892857142861</v>
      </c>
      <c r="X161" s="319">
        <f>'Carichi unitari'!$D$10*S161*T161*U161*V161</f>
        <v>13.750000000000002</v>
      </c>
      <c r="Y161" s="378">
        <f>W161*$E$25+X161*$F$25</f>
        <v>69.798660714285731</v>
      </c>
      <c r="Z161" s="320">
        <f>W161+X161*$H$24</f>
        <v>41.950892857142861</v>
      </c>
      <c r="AA161" s="165">
        <v>2.5</v>
      </c>
      <c r="AB161" s="166">
        <v>1</v>
      </c>
      <c r="AC161" s="166">
        <v>2.5</v>
      </c>
      <c r="AD161" s="422">
        <v>1.1000000000000001</v>
      </c>
      <c r="AE161" s="378">
        <f>('Carichi unitari'!$C$11+'Carichi unitari'!$C$10)*AA161*AB161*AC161*AD161</f>
        <v>37.825892857142861</v>
      </c>
      <c r="AF161" s="319">
        <f>'Carichi unitari'!$D$10*AA161*AB161*AC161*AD161</f>
        <v>13.750000000000002</v>
      </c>
      <c r="AG161" s="378">
        <f>AE161*$E$25+AF161*$F$25</f>
        <v>69.798660714285731</v>
      </c>
      <c r="AH161" s="320">
        <f>AE161+AF161*$H$24</f>
        <v>41.950892857142861</v>
      </c>
      <c r="AI161" s="165">
        <v>2.5</v>
      </c>
      <c r="AJ161" s="166">
        <v>1</v>
      </c>
      <c r="AK161" s="166">
        <v>2.5</v>
      </c>
      <c r="AL161" s="422">
        <v>1.1000000000000001</v>
      </c>
      <c r="AM161" s="378">
        <f>('Carichi unitari'!$C$11+'Carichi unitari'!$C$10)*AI161*AJ161*AK161*AL161</f>
        <v>37.825892857142861</v>
      </c>
      <c r="AN161" s="319">
        <f>'Carichi unitari'!$D$10*AI161*AJ161*AK161*AL161</f>
        <v>13.750000000000002</v>
      </c>
      <c r="AO161" s="378">
        <f>AM161*$E$25+AN161*$F$25</f>
        <v>69.798660714285731</v>
      </c>
      <c r="AP161" s="320">
        <f>AM161+AN161*$H$24</f>
        <v>41.950892857142861</v>
      </c>
      <c r="AQ161" s="165">
        <v>2.5</v>
      </c>
      <c r="AR161" s="166">
        <v>1</v>
      </c>
      <c r="AS161" s="166">
        <v>2.5</v>
      </c>
      <c r="AT161" s="422">
        <v>1.1000000000000001</v>
      </c>
      <c r="AU161" s="378">
        <f>('Carichi unitari'!$C$11+'Carichi unitari'!$C$10)*AQ161*AR161*AS161*AT161</f>
        <v>37.825892857142861</v>
      </c>
      <c r="AV161" s="319">
        <f>'Carichi unitari'!$D$10*AQ161*AR161*AS161*AT161</f>
        <v>13.750000000000002</v>
      </c>
      <c r="AW161" s="378">
        <f>AU161*$E$25+AV161*$F$25</f>
        <v>69.798660714285731</v>
      </c>
      <c r="AX161" s="320">
        <f>AU161+AV161*$H$24</f>
        <v>41.950892857142861</v>
      </c>
    </row>
    <row r="162" spans="2:50" x14ac:dyDescent="0.3">
      <c r="B162" s="381" t="s">
        <v>42</v>
      </c>
      <c r="C162" s="37">
        <v>2.5</v>
      </c>
      <c r="D162" s="400">
        <v>1</v>
      </c>
      <c r="E162" s="50">
        <v>2.5</v>
      </c>
      <c r="F162" s="210">
        <v>1</v>
      </c>
      <c r="G162" s="412">
        <f>('Carichi unitari'!$C$11+'Carichi unitari'!$C$10)*C162*D162*E162*F162</f>
        <v>34.387175324675326</v>
      </c>
      <c r="H162" s="358">
        <f>'Carichi unitari'!$D$10*C162*D162*E162*F162</f>
        <v>12.5</v>
      </c>
      <c r="I162" s="412">
        <f>G162*$E$25+H162*$F$25</f>
        <v>63.453327922077925</v>
      </c>
      <c r="J162" s="417">
        <f>G162+H162*$H$24</f>
        <v>38.137175324675326</v>
      </c>
      <c r="K162" s="171">
        <v>2.5</v>
      </c>
      <c r="L162" s="50">
        <v>1</v>
      </c>
      <c r="M162" s="50">
        <v>2.5</v>
      </c>
      <c r="N162" s="210">
        <v>1</v>
      </c>
      <c r="O162" s="329">
        <f>('Carichi unitari'!$C$11+'Carichi unitari'!$C$10)*K162*L162*M162*N162</f>
        <v>34.387175324675326</v>
      </c>
      <c r="P162" s="9">
        <f>'Carichi unitari'!$D$10*K162*L162*M162*N162</f>
        <v>12.5</v>
      </c>
      <c r="Q162" s="329">
        <f>O162*$E$25+P162*$F$25</f>
        <v>63.453327922077925</v>
      </c>
      <c r="R162" s="281">
        <f>O162+P162*$H$24</f>
        <v>38.137175324675326</v>
      </c>
      <c r="S162" s="171">
        <v>2.5</v>
      </c>
      <c r="T162" s="50">
        <v>1</v>
      </c>
      <c r="U162" s="50">
        <v>2.5</v>
      </c>
      <c r="V162" s="210">
        <v>1</v>
      </c>
      <c r="W162" s="329">
        <f>('Carichi unitari'!$C$11+'Carichi unitari'!$C$10)*S162*T162*U162*V162</f>
        <v>34.387175324675326</v>
      </c>
      <c r="X162" s="9">
        <f>'Carichi unitari'!$D$10*S162*T162*U162*V162</f>
        <v>12.5</v>
      </c>
      <c r="Y162" s="329">
        <f>W162*$E$25+X162*$F$25</f>
        <v>63.453327922077925</v>
      </c>
      <c r="Z162" s="281">
        <f>W162+X162*$H$24</f>
        <v>38.137175324675326</v>
      </c>
      <c r="AA162" s="171">
        <v>2.5</v>
      </c>
      <c r="AB162" s="50">
        <v>1</v>
      </c>
      <c r="AC162" s="50">
        <v>2.5</v>
      </c>
      <c r="AD162" s="210">
        <v>1</v>
      </c>
      <c r="AE162" s="329">
        <f>('Carichi unitari'!$C$11+'Carichi unitari'!$C$10)*AA162*AB162*AC162*AD162</f>
        <v>34.387175324675326</v>
      </c>
      <c r="AF162" s="9">
        <f>'Carichi unitari'!$D$10*AA162*AB162*AC162*AD162</f>
        <v>12.5</v>
      </c>
      <c r="AG162" s="329">
        <f>AE162*$E$25+AF162*$F$25</f>
        <v>63.453327922077925</v>
      </c>
      <c r="AH162" s="281">
        <f>AE162+AF162*$H$24</f>
        <v>38.137175324675326</v>
      </c>
      <c r="AI162" s="171">
        <v>2.5</v>
      </c>
      <c r="AJ162" s="50">
        <v>1</v>
      </c>
      <c r="AK162" s="50">
        <v>2.5</v>
      </c>
      <c r="AL162" s="210">
        <v>1</v>
      </c>
      <c r="AM162" s="329">
        <f>('Carichi unitari'!$C$11+'Carichi unitari'!$C$10)*AI162*AJ162*AK162*AL162</f>
        <v>34.387175324675326</v>
      </c>
      <c r="AN162" s="9">
        <f>'Carichi unitari'!$D$10*AI162*AJ162*AK162*AL162</f>
        <v>12.5</v>
      </c>
      <c r="AO162" s="329">
        <f>AM162*$E$25+AN162*$F$25</f>
        <v>63.453327922077925</v>
      </c>
      <c r="AP162" s="281">
        <f>AM162+AN162*$H$24</f>
        <v>38.137175324675326</v>
      </c>
      <c r="AQ162" s="171">
        <v>2.5</v>
      </c>
      <c r="AR162" s="50">
        <v>1</v>
      </c>
      <c r="AS162" s="50">
        <v>2.5</v>
      </c>
      <c r="AT162" s="210">
        <v>1</v>
      </c>
      <c r="AU162" s="329">
        <f>('Carichi unitari'!$C$11+'Carichi unitari'!$C$10)*AQ162*AR162*AS162*AT162</f>
        <v>34.387175324675326</v>
      </c>
      <c r="AV162" s="9">
        <f>'Carichi unitari'!$D$10*AQ162*AR162*AS162*AT162</f>
        <v>12.5</v>
      </c>
      <c r="AW162" s="329">
        <f>AU162*$E$25+AV162*$F$25</f>
        <v>63.453327922077925</v>
      </c>
      <c r="AX162" s="281">
        <f>AU162+AV162*$H$24</f>
        <v>38.137175324675326</v>
      </c>
    </row>
    <row r="163" spans="2:50" x14ac:dyDescent="0.3">
      <c r="B163" s="382" t="s">
        <v>7</v>
      </c>
      <c r="C163" s="388">
        <v>2.2999999999999998</v>
      </c>
      <c r="D163" s="385">
        <v>1</v>
      </c>
      <c r="E163" s="385">
        <v>2.5</v>
      </c>
      <c r="F163" s="424">
        <v>1</v>
      </c>
      <c r="G163" s="412">
        <f>C163*D163*E163*F163*'Carichi unitari'!$C$16</f>
        <v>40.527150000000006</v>
      </c>
      <c r="H163" s="358">
        <f>C163*D163*E163*F163*'Carichi unitari'!$D$14</f>
        <v>23</v>
      </c>
      <c r="I163" s="412">
        <f>G163*$E$25+H163*$F$25</f>
        <v>87.185295000000011</v>
      </c>
      <c r="J163" s="417">
        <f>G163+H163*$I$24</f>
        <v>54.327150000000003</v>
      </c>
      <c r="K163" s="413">
        <v>2.2999999999999998</v>
      </c>
      <c r="L163" s="414">
        <v>1</v>
      </c>
      <c r="M163" s="414">
        <v>2.5</v>
      </c>
      <c r="N163" s="424">
        <v>1</v>
      </c>
      <c r="O163" s="329">
        <f>K163*L163*M163*N163*'Carichi unitari'!$C$16</f>
        <v>40.527150000000006</v>
      </c>
      <c r="P163" s="9">
        <f>K163*L163*M163*N163*'Carichi unitari'!$D$14</f>
        <v>23</v>
      </c>
      <c r="Q163" s="412">
        <f>O163*$E$25+P163*$F$25</f>
        <v>87.185295000000011</v>
      </c>
      <c r="R163" s="417">
        <f>O163+P163*$I$24</f>
        <v>54.327150000000003</v>
      </c>
      <c r="S163" s="413">
        <v>2.2999999999999998</v>
      </c>
      <c r="T163" s="414">
        <v>1</v>
      </c>
      <c r="U163" s="414">
        <v>2.5</v>
      </c>
      <c r="V163" s="424">
        <v>1</v>
      </c>
      <c r="W163" s="329">
        <f>S163*T163*U163*V163*'Carichi unitari'!$C$16</f>
        <v>40.527150000000006</v>
      </c>
      <c r="X163" s="9">
        <f>S163*T163*U163*V163*'Carichi unitari'!$D$14</f>
        <v>23</v>
      </c>
      <c r="Y163" s="412">
        <f>W163*$E$25+X163*$F$25</f>
        <v>87.185295000000011</v>
      </c>
      <c r="Z163" s="417">
        <f>W163+X163*$I$24</f>
        <v>54.327150000000003</v>
      </c>
      <c r="AA163" s="413">
        <v>2.2999999999999998</v>
      </c>
      <c r="AB163" s="414">
        <v>1</v>
      </c>
      <c r="AC163" s="414">
        <v>2.5</v>
      </c>
      <c r="AD163" s="424">
        <v>1</v>
      </c>
      <c r="AE163" s="329">
        <f>AA163*AB163*AC163*AD163*'Carichi unitari'!$C$16</f>
        <v>40.527150000000006</v>
      </c>
      <c r="AF163" s="9">
        <f>AA163*AB163*AC163*AD163*'Carichi unitari'!$D$14</f>
        <v>23</v>
      </c>
      <c r="AG163" s="412">
        <f>AE163*$E$25+AF163*$F$25</f>
        <v>87.185295000000011</v>
      </c>
      <c r="AH163" s="417">
        <f>AE163+AF163*$I$24</f>
        <v>54.327150000000003</v>
      </c>
      <c r="AI163" s="413">
        <v>2.2999999999999998</v>
      </c>
      <c r="AJ163" s="414">
        <v>1</v>
      </c>
      <c r="AK163" s="414">
        <v>2.5</v>
      </c>
      <c r="AL163" s="424">
        <v>1</v>
      </c>
      <c r="AM163" s="329">
        <f>AI163*AJ163*AK163*AL163*'Carichi unitari'!$C$16</f>
        <v>40.527150000000006</v>
      </c>
      <c r="AN163" s="9">
        <f>AI163*AJ163*AK163*AL163*'Carichi unitari'!$D$14</f>
        <v>23</v>
      </c>
      <c r="AO163" s="412">
        <f>AM163*$E$25+AN163*$F$25</f>
        <v>87.185295000000011</v>
      </c>
      <c r="AP163" s="417">
        <f>AM163+AN163*$I$24</f>
        <v>54.327150000000003</v>
      </c>
      <c r="AQ163" s="413">
        <v>2.2999999999999998</v>
      </c>
      <c r="AR163" s="414">
        <v>1</v>
      </c>
      <c r="AS163" s="414">
        <v>2.5</v>
      </c>
      <c r="AT163" s="424">
        <v>1</v>
      </c>
      <c r="AU163" s="329">
        <f>AQ163*AR163*AS163*AT163*'Carichi unitari'!$C$16</f>
        <v>40.527150000000006</v>
      </c>
      <c r="AV163" s="9">
        <f>AQ163*AR163*AS163*AT163*'Carichi unitari'!$D$14</f>
        <v>23</v>
      </c>
      <c r="AW163" s="412">
        <f>AU163*$E$25+AV163*$F$25</f>
        <v>87.185295000000011</v>
      </c>
      <c r="AX163" s="417">
        <f>AU163+AV163*$I$24</f>
        <v>54.327150000000003</v>
      </c>
    </row>
    <row r="164" spans="2:50" x14ac:dyDescent="0.3">
      <c r="B164" s="383" t="s">
        <v>358</v>
      </c>
      <c r="C164" s="388">
        <v>2.5</v>
      </c>
      <c r="D164" s="385">
        <v>1</v>
      </c>
      <c r="E164" s="385">
        <v>2.5</v>
      </c>
      <c r="F164" s="414">
        <v>1.2</v>
      </c>
      <c r="G164" s="416">
        <f>(C164*D164+E164*F164)*'Carichi unitari'!$C$17</f>
        <v>27.439642857142857</v>
      </c>
      <c r="H164" s="416"/>
      <c r="I164" s="416">
        <f>G164*$E$25</f>
        <v>35.671535714285717</v>
      </c>
      <c r="J164" s="418">
        <f>G164</f>
        <v>27.439642857142857</v>
      </c>
      <c r="K164" s="413">
        <v>2.5</v>
      </c>
      <c r="L164" s="414">
        <v>1</v>
      </c>
      <c r="M164" s="414">
        <v>2.5</v>
      </c>
      <c r="N164" s="414">
        <v>1.1000000000000001</v>
      </c>
      <c r="O164" s="16">
        <f>(K164*L164+M164*N164)*'Carichi unitari'!$C$17</f>
        <v>26.192386363636366</v>
      </c>
      <c r="P164" s="16"/>
      <c r="Q164" s="16">
        <f>O164*$E$25</f>
        <v>34.05010227272728</v>
      </c>
      <c r="R164" s="356">
        <f>O164</f>
        <v>26.192386363636366</v>
      </c>
      <c r="S164" s="413">
        <v>2.5</v>
      </c>
      <c r="T164" s="414">
        <v>1</v>
      </c>
      <c r="U164" s="414">
        <v>2.5</v>
      </c>
      <c r="V164" s="414">
        <v>1.1000000000000001</v>
      </c>
      <c r="W164" s="16">
        <f>(S164*T164+U164*V164)*'Carichi unitari'!$C$17</f>
        <v>26.192386363636366</v>
      </c>
      <c r="X164" s="16"/>
      <c r="Y164" s="16">
        <f>W164*$E$25</f>
        <v>34.05010227272728</v>
      </c>
      <c r="Z164" s="356">
        <f>W164</f>
        <v>26.192386363636366</v>
      </c>
      <c r="AA164" s="413">
        <v>2.5</v>
      </c>
      <c r="AB164" s="414">
        <v>1</v>
      </c>
      <c r="AC164" s="414">
        <v>2.5</v>
      </c>
      <c r="AD164" s="414">
        <v>1.1000000000000001</v>
      </c>
      <c r="AE164" s="16">
        <f>(AA164*AB164+AC164*AD164)*'Carichi unitari'!$C$18</f>
        <v>22.254886363636359</v>
      </c>
      <c r="AF164" s="16"/>
      <c r="AG164" s="16">
        <f>AE164*$E$25</f>
        <v>28.931352272727267</v>
      </c>
      <c r="AH164" s="356">
        <f>AE164</f>
        <v>22.254886363636359</v>
      </c>
      <c r="AI164" s="413">
        <v>2.5</v>
      </c>
      <c r="AJ164" s="414">
        <v>1</v>
      </c>
      <c r="AK164" s="414">
        <v>2.5</v>
      </c>
      <c r="AL164" s="414">
        <v>1.1000000000000001</v>
      </c>
      <c r="AM164" s="16">
        <f>(AI164*AJ164+AK164*AL164)*'Carichi unitari'!$C$18</f>
        <v>22.254886363636359</v>
      </c>
      <c r="AN164" s="16"/>
      <c r="AO164" s="16">
        <f>AM164*$E$25</f>
        <v>28.931352272727267</v>
      </c>
      <c r="AP164" s="356">
        <f>AM164</f>
        <v>22.254886363636359</v>
      </c>
      <c r="AQ164" s="413">
        <v>2.5</v>
      </c>
      <c r="AR164" s="414">
        <v>1</v>
      </c>
      <c r="AS164" s="414">
        <v>2.5</v>
      </c>
      <c r="AT164" s="414">
        <v>1.1000000000000001</v>
      </c>
      <c r="AU164" s="16">
        <f>(AQ164*AR164+AS164*AT164)*'Carichi unitari'!$C$19</f>
        <v>18.317386363636366</v>
      </c>
      <c r="AV164" s="16"/>
      <c r="AW164" s="16">
        <f>AU164*$E$25</f>
        <v>23.812602272727275</v>
      </c>
      <c r="AX164" s="356">
        <f>AU164</f>
        <v>18.317386363636366</v>
      </c>
    </row>
    <row r="165" spans="2:50" x14ac:dyDescent="0.3">
      <c r="B165" s="383" t="s">
        <v>359</v>
      </c>
      <c r="C165" s="388">
        <v>2.5</v>
      </c>
      <c r="D165" s="385">
        <v>1</v>
      </c>
      <c r="E165" s="385"/>
      <c r="F165" s="414"/>
      <c r="G165" s="358">
        <f>(C165*D165+E165*F165)*'Carichi unitari'!$C$21</f>
        <v>4.6170779220779217</v>
      </c>
      <c r="H165" s="358"/>
      <c r="I165" s="358">
        <f>G165*$E$25</f>
        <v>6.0022012987012987</v>
      </c>
      <c r="J165" s="417">
        <f>G165</f>
        <v>4.6170779220779217</v>
      </c>
      <c r="K165" s="413">
        <v>2.5</v>
      </c>
      <c r="L165" s="414">
        <v>1</v>
      </c>
      <c r="M165" s="414"/>
      <c r="N165" s="414"/>
      <c r="O165" s="9">
        <f>(K165*L165+M165*N165)*'Carichi unitari'!$C$21</f>
        <v>4.6170779220779217</v>
      </c>
      <c r="P165" s="9"/>
      <c r="Q165" s="9">
        <f>O165*$E$25</f>
        <v>6.0022012987012987</v>
      </c>
      <c r="R165" s="281">
        <f>O165</f>
        <v>4.6170779220779217</v>
      </c>
      <c r="S165" s="413">
        <v>2.5</v>
      </c>
      <c r="T165" s="414">
        <v>1</v>
      </c>
      <c r="U165" s="414"/>
      <c r="V165" s="414"/>
      <c r="W165" s="9">
        <f>(S165*T165+U165*V165)*'Carichi unitari'!$C$21</f>
        <v>4.6170779220779217</v>
      </c>
      <c r="X165" s="9"/>
      <c r="Y165" s="9">
        <f>W165*$E$25</f>
        <v>6.0022012987012987</v>
      </c>
      <c r="Z165" s="281">
        <f>W165</f>
        <v>4.6170779220779217</v>
      </c>
      <c r="AA165" s="413">
        <v>2.5</v>
      </c>
      <c r="AB165" s="414">
        <v>1</v>
      </c>
      <c r="AC165" s="414"/>
      <c r="AD165" s="414"/>
      <c r="AE165" s="9">
        <f>(AA165*AB165+AC165*AD165)*'Carichi unitari'!$C$21</f>
        <v>4.6170779220779217</v>
      </c>
      <c r="AF165" s="9"/>
      <c r="AG165" s="9">
        <f>AE165*$E$25</f>
        <v>6.0022012987012987</v>
      </c>
      <c r="AH165" s="281">
        <f>AE165</f>
        <v>4.6170779220779217</v>
      </c>
      <c r="AI165" s="413">
        <v>2.5</v>
      </c>
      <c r="AJ165" s="414">
        <v>1</v>
      </c>
      <c r="AK165" s="414"/>
      <c r="AL165" s="414"/>
      <c r="AM165" s="9">
        <f>(AI165*AJ165+AK165*AL165)*'Carichi unitari'!$C$21</f>
        <v>4.6170779220779217</v>
      </c>
      <c r="AN165" s="9"/>
      <c r="AO165" s="9">
        <f>AM165*$E$25</f>
        <v>6.0022012987012987</v>
      </c>
      <c r="AP165" s="281">
        <f>AM165</f>
        <v>4.6170779220779217</v>
      </c>
      <c r="AQ165" s="413">
        <v>2.5</v>
      </c>
      <c r="AR165" s="414">
        <v>1</v>
      </c>
      <c r="AS165" s="414"/>
      <c r="AT165" s="414"/>
      <c r="AU165" s="9">
        <f>(AQ165*AR165+AS165*AT165)*'Carichi unitari'!$C$21</f>
        <v>4.6170779220779217</v>
      </c>
      <c r="AV165" s="9"/>
      <c r="AW165" s="9">
        <f>AU165*$E$25</f>
        <v>6.0022012987012987</v>
      </c>
      <c r="AX165" s="281">
        <f>AU165</f>
        <v>4.6170779220779217</v>
      </c>
    </row>
    <row r="166" spans="2:50" x14ac:dyDescent="0.3">
      <c r="B166" s="382" t="s">
        <v>357</v>
      </c>
      <c r="C166" s="388">
        <v>7.3</v>
      </c>
      <c r="D166" s="385">
        <v>0.9</v>
      </c>
      <c r="E166" s="385"/>
      <c r="F166" s="385"/>
      <c r="G166" s="9">
        <f>C166*D166*'Carichi unitari'!$C$22</f>
        <v>39.277010109375006</v>
      </c>
      <c r="H166" s="9"/>
      <c r="I166" s="9">
        <f>G166*$E$25</f>
        <v>51.060113142187511</v>
      </c>
      <c r="J166" s="281">
        <f>G166</f>
        <v>39.277010109375006</v>
      </c>
      <c r="K166" s="388">
        <v>7.3</v>
      </c>
      <c r="L166" s="385">
        <v>0.8</v>
      </c>
      <c r="M166" s="385"/>
      <c r="N166" s="385"/>
      <c r="O166" s="9">
        <f>K166*L166*'Carichi unitari'!$C$22</f>
        <v>34.912897875000006</v>
      </c>
      <c r="P166" s="9"/>
      <c r="Q166" s="9">
        <f>O166*$E$25</f>
        <v>45.38676723750001</v>
      </c>
      <c r="R166" s="281">
        <f>O166</f>
        <v>34.912897875000006</v>
      </c>
      <c r="S166" s="388">
        <v>7.3</v>
      </c>
      <c r="T166" s="385">
        <v>0.8</v>
      </c>
      <c r="U166" s="385"/>
      <c r="V166" s="385"/>
      <c r="W166" s="9">
        <f>S166*T166*'Carichi unitari'!$C$22</f>
        <v>34.912897875000006</v>
      </c>
      <c r="X166" s="9"/>
      <c r="Y166" s="9">
        <f>W166*$E$25</f>
        <v>45.38676723750001</v>
      </c>
      <c r="Z166" s="281">
        <f>W166</f>
        <v>34.912897875000006</v>
      </c>
      <c r="AA166" s="388">
        <v>7.3</v>
      </c>
      <c r="AB166" s="385">
        <v>0.8</v>
      </c>
      <c r="AC166" s="385"/>
      <c r="AD166" s="385"/>
      <c r="AE166" s="9">
        <f>AA166*AB166*'Carichi unitari'!$C$22</f>
        <v>34.912897875000006</v>
      </c>
      <c r="AF166" s="9"/>
      <c r="AG166" s="9">
        <f>AE166*$E$25</f>
        <v>45.38676723750001</v>
      </c>
      <c r="AH166" s="281">
        <f>AE166</f>
        <v>34.912897875000006</v>
      </c>
      <c r="AI166" s="388">
        <v>7.3</v>
      </c>
      <c r="AJ166" s="385">
        <v>0.8</v>
      </c>
      <c r="AK166" s="385"/>
      <c r="AL166" s="385"/>
      <c r="AM166" s="9">
        <f>AI166*AJ166*'Carichi unitari'!$C$22</f>
        <v>34.912897875000006</v>
      </c>
      <c r="AN166" s="9"/>
      <c r="AO166" s="9">
        <f>AM166*$E$25</f>
        <v>45.38676723750001</v>
      </c>
      <c r="AP166" s="281">
        <f>AM166</f>
        <v>34.912897875000006</v>
      </c>
      <c r="AQ166" s="388"/>
      <c r="AR166" s="385"/>
      <c r="AS166" s="385"/>
      <c r="AT166" s="385"/>
      <c r="AU166" s="9"/>
      <c r="AV166" s="9"/>
      <c r="AW166" s="9"/>
      <c r="AX166" s="281"/>
    </row>
    <row r="167" spans="2:50" x14ac:dyDescent="0.3">
      <c r="B167" s="383" t="s">
        <v>247</v>
      </c>
      <c r="C167" s="388"/>
      <c r="D167" s="385"/>
      <c r="E167" s="385"/>
      <c r="F167" s="385"/>
      <c r="G167" s="9">
        <f>'Carichi unitari'!$C$23</f>
        <v>16.799999999999997</v>
      </c>
      <c r="H167" s="9"/>
      <c r="I167" s="9">
        <f>G167*$E$25</f>
        <v>21.839999999999996</v>
      </c>
      <c r="J167" s="281">
        <f>G167</f>
        <v>16.799999999999997</v>
      </c>
      <c r="K167" s="388"/>
      <c r="L167" s="385"/>
      <c r="M167" s="385"/>
      <c r="N167" s="385"/>
      <c r="O167" s="9">
        <f>'Carichi unitari'!$C$24</f>
        <v>14.400000000000002</v>
      </c>
      <c r="P167" s="9"/>
      <c r="Q167" s="9">
        <f>O167*$E$25</f>
        <v>18.720000000000002</v>
      </c>
      <c r="R167" s="281">
        <f>O167</f>
        <v>14.400000000000002</v>
      </c>
      <c r="S167" s="388"/>
      <c r="T167" s="385"/>
      <c r="U167" s="385"/>
      <c r="V167" s="385"/>
      <c r="W167" s="9">
        <f>'Carichi unitari'!$C$25</f>
        <v>13.125</v>
      </c>
      <c r="X167" s="9"/>
      <c r="Y167" s="9">
        <f>W167*$E$25</f>
        <v>17.0625</v>
      </c>
      <c r="Z167" s="281">
        <f>W167</f>
        <v>13.125</v>
      </c>
      <c r="AA167" s="388"/>
      <c r="AB167" s="385"/>
      <c r="AC167" s="385"/>
      <c r="AD167" s="385"/>
      <c r="AE167" s="9">
        <f>'Carichi unitari'!$C$25</f>
        <v>13.125</v>
      </c>
      <c r="AF167" s="9"/>
      <c r="AG167" s="9">
        <f>AE167*$E$25</f>
        <v>17.0625</v>
      </c>
      <c r="AH167" s="281">
        <f>AE167</f>
        <v>13.125</v>
      </c>
      <c r="AI167" s="388"/>
      <c r="AJ167" s="385"/>
      <c r="AK167" s="385"/>
      <c r="AL167" s="385"/>
      <c r="AM167" s="9">
        <f>'Carichi unitari'!$C$26</f>
        <v>11.700000000000001</v>
      </c>
      <c r="AN167" s="9"/>
      <c r="AO167" s="9">
        <f>AM167*$E$25</f>
        <v>15.210000000000003</v>
      </c>
      <c r="AP167" s="281">
        <f>AM167</f>
        <v>11.700000000000001</v>
      </c>
      <c r="AQ167" s="388"/>
      <c r="AR167" s="385"/>
      <c r="AS167" s="385"/>
      <c r="AT167" s="385"/>
      <c r="AU167" s="9">
        <f>'Carichi unitari'!$C$26</f>
        <v>11.700000000000001</v>
      </c>
      <c r="AV167" s="9"/>
      <c r="AW167" s="9">
        <f>AU167*$E$25</f>
        <v>15.210000000000003</v>
      </c>
      <c r="AX167" s="281">
        <f>AU167</f>
        <v>11.700000000000001</v>
      </c>
    </row>
    <row r="168" spans="2:50" ht="15" thickBot="1" x14ac:dyDescent="0.35">
      <c r="B168" s="384" t="s">
        <v>380</v>
      </c>
      <c r="C168" s="389"/>
      <c r="D168" s="390"/>
      <c r="E168" s="390"/>
      <c r="F168" s="390"/>
      <c r="G168" s="301"/>
      <c r="H168" s="301"/>
      <c r="I168" s="350">
        <f>SUM(I161:I167)</f>
        <v>341.35646658374594</v>
      </c>
      <c r="J168" s="352">
        <f>SUM(J161:J167)</f>
        <v>226.36266660288152</v>
      </c>
      <c r="K168" s="389"/>
      <c r="L168" s="390"/>
      <c r="M168" s="390"/>
      <c r="N168" s="390"/>
      <c r="O168" s="301"/>
      <c r="P168" s="301"/>
      <c r="Q168" s="350">
        <f>SUM(Q161:Q167)</f>
        <v>324.59635444529226</v>
      </c>
      <c r="R168" s="352">
        <f>SUM(R161:R167)</f>
        <v>214.53758034253249</v>
      </c>
      <c r="S168" s="389"/>
      <c r="T168" s="390"/>
      <c r="U168" s="390"/>
      <c r="V168" s="390"/>
      <c r="W168" s="301"/>
      <c r="X168" s="301"/>
      <c r="Y168" s="350">
        <f>SUM(Y161:Y167)</f>
        <v>322.93885444529224</v>
      </c>
      <c r="Z168" s="352">
        <f>SUM(Z161:Z167)</f>
        <v>213.26258034253249</v>
      </c>
      <c r="AA168" s="389"/>
      <c r="AB168" s="390"/>
      <c r="AC168" s="390"/>
      <c r="AD168" s="390"/>
      <c r="AE168" s="301"/>
      <c r="AF168" s="301"/>
      <c r="AG168" s="350">
        <f>SUM(AG161:AG167)</f>
        <v>317.82010444529226</v>
      </c>
      <c r="AH168" s="352">
        <f>SUM(AH161:AH167)</f>
        <v>209.32508034253249</v>
      </c>
      <c r="AI168" s="389"/>
      <c r="AJ168" s="390"/>
      <c r="AK168" s="390"/>
      <c r="AL168" s="390"/>
      <c r="AM168" s="301"/>
      <c r="AN168" s="301"/>
      <c r="AO168" s="350">
        <f>SUM(AO161:AO167)</f>
        <v>315.96760444529224</v>
      </c>
      <c r="AP168" s="352">
        <f>SUM(AP161:AP167)</f>
        <v>207.90008034253248</v>
      </c>
      <c r="AQ168" s="389"/>
      <c r="AR168" s="390"/>
      <c r="AS168" s="390"/>
      <c r="AT168" s="390"/>
      <c r="AU168" s="301"/>
      <c r="AV168" s="301"/>
      <c r="AW168" s="350">
        <f>SUM(AW161:AW167)</f>
        <v>265.46208720779219</v>
      </c>
      <c r="AX168" s="352">
        <f>SUM(AX161:AX167)</f>
        <v>169.04968246753248</v>
      </c>
    </row>
    <row r="169" spans="2:50" ht="16.2" thickBot="1" x14ac:dyDescent="0.35">
      <c r="C169" s="602" t="s">
        <v>381</v>
      </c>
      <c r="D169" s="603"/>
      <c r="E169" s="603"/>
      <c r="F169" s="603"/>
      <c r="G169" s="603"/>
      <c r="H169" s="603"/>
      <c r="I169" s="603"/>
      <c r="J169" s="603"/>
      <c r="K169" s="602" t="s">
        <v>382</v>
      </c>
      <c r="L169" s="603"/>
      <c r="M169" s="603"/>
      <c r="N169" s="603"/>
      <c r="O169" s="603"/>
      <c r="P169" s="603"/>
      <c r="Q169" s="603"/>
      <c r="R169" s="603"/>
      <c r="S169" s="602" t="s">
        <v>383</v>
      </c>
      <c r="T169" s="603"/>
      <c r="U169" s="603"/>
      <c r="V169" s="603"/>
      <c r="W169" s="603"/>
      <c r="X169" s="603"/>
      <c r="Y169" s="603"/>
      <c r="Z169" s="603"/>
      <c r="AA169" s="602" t="s">
        <v>384</v>
      </c>
      <c r="AB169" s="603"/>
      <c r="AC169" s="603"/>
      <c r="AD169" s="603"/>
      <c r="AE169" s="603"/>
      <c r="AF169" s="603"/>
      <c r="AG169" s="603"/>
      <c r="AH169" s="603"/>
      <c r="AI169" s="602" t="s">
        <v>385</v>
      </c>
      <c r="AJ169" s="603"/>
      <c r="AK169" s="603"/>
      <c r="AL169" s="603"/>
      <c r="AM169" s="603"/>
      <c r="AN169" s="603"/>
      <c r="AO169" s="603"/>
      <c r="AP169" s="603"/>
      <c r="AQ169" s="602" t="s">
        <v>386</v>
      </c>
      <c r="AR169" s="603"/>
      <c r="AS169" s="603"/>
      <c r="AT169" s="603"/>
      <c r="AU169" s="603"/>
      <c r="AV169" s="603"/>
      <c r="AW169" s="603"/>
      <c r="AX169" s="603"/>
    </row>
    <row r="170" spans="2:50" ht="46.2" thickBot="1" x14ac:dyDescent="0.35">
      <c r="B170" s="379" t="s">
        <v>392</v>
      </c>
      <c r="C170" s="313" t="s">
        <v>241</v>
      </c>
      <c r="D170" s="314" t="s">
        <v>242</v>
      </c>
      <c r="E170" s="313" t="s">
        <v>241</v>
      </c>
      <c r="F170" s="314" t="s">
        <v>242</v>
      </c>
      <c r="G170" s="315" t="s">
        <v>8</v>
      </c>
      <c r="H170" s="315" t="s">
        <v>9</v>
      </c>
      <c r="I170" s="316" t="s">
        <v>253</v>
      </c>
      <c r="J170" s="317" t="s">
        <v>254</v>
      </c>
      <c r="K170" s="313" t="s">
        <v>241</v>
      </c>
      <c r="L170" s="314" t="s">
        <v>242</v>
      </c>
      <c r="M170" s="313" t="s">
        <v>241</v>
      </c>
      <c r="N170" s="314" t="s">
        <v>242</v>
      </c>
      <c r="O170" s="315" t="s">
        <v>8</v>
      </c>
      <c r="P170" s="315" t="s">
        <v>9</v>
      </c>
      <c r="Q170" s="316" t="s">
        <v>253</v>
      </c>
      <c r="R170" s="317" t="s">
        <v>254</v>
      </c>
      <c r="S170" s="313" t="s">
        <v>241</v>
      </c>
      <c r="T170" s="314" t="s">
        <v>242</v>
      </c>
      <c r="U170" s="313" t="s">
        <v>241</v>
      </c>
      <c r="V170" s="314" t="s">
        <v>242</v>
      </c>
      <c r="W170" s="315" t="s">
        <v>8</v>
      </c>
      <c r="X170" s="315" t="s">
        <v>9</v>
      </c>
      <c r="Y170" s="316" t="s">
        <v>253</v>
      </c>
      <c r="Z170" s="317" t="s">
        <v>254</v>
      </c>
      <c r="AA170" s="313" t="s">
        <v>241</v>
      </c>
      <c r="AB170" s="314" t="s">
        <v>242</v>
      </c>
      <c r="AC170" s="313" t="s">
        <v>241</v>
      </c>
      <c r="AD170" s="314" t="s">
        <v>242</v>
      </c>
      <c r="AE170" s="315" t="s">
        <v>8</v>
      </c>
      <c r="AF170" s="315" t="s">
        <v>9</v>
      </c>
      <c r="AG170" s="316" t="s">
        <v>253</v>
      </c>
      <c r="AH170" s="317" t="s">
        <v>254</v>
      </c>
      <c r="AI170" s="313" t="s">
        <v>241</v>
      </c>
      <c r="AJ170" s="314" t="s">
        <v>242</v>
      </c>
      <c r="AK170" s="313" t="s">
        <v>241</v>
      </c>
      <c r="AL170" s="314" t="s">
        <v>242</v>
      </c>
      <c r="AM170" s="315" t="s">
        <v>8</v>
      </c>
      <c r="AN170" s="315" t="s">
        <v>9</v>
      </c>
      <c r="AO170" s="316" t="s">
        <v>253</v>
      </c>
      <c r="AP170" s="317" t="s">
        <v>254</v>
      </c>
      <c r="AQ170" s="313" t="s">
        <v>241</v>
      </c>
      <c r="AR170" s="314" t="s">
        <v>242</v>
      </c>
      <c r="AS170" s="313" t="s">
        <v>241</v>
      </c>
      <c r="AT170" s="314" t="s">
        <v>242</v>
      </c>
      <c r="AU170" s="315" t="s">
        <v>8</v>
      </c>
      <c r="AV170" s="315" t="s">
        <v>9</v>
      </c>
      <c r="AW170" s="316" t="s">
        <v>253</v>
      </c>
      <c r="AX170" s="317" t="s">
        <v>254</v>
      </c>
    </row>
    <row r="171" spans="2:50" x14ac:dyDescent="0.3">
      <c r="B171" s="380" t="s">
        <v>42</v>
      </c>
      <c r="C171" s="386">
        <v>2</v>
      </c>
      <c r="D171" s="166">
        <v>1.2</v>
      </c>
      <c r="E171" s="166">
        <v>2.5</v>
      </c>
      <c r="F171" s="209">
        <v>1.2</v>
      </c>
      <c r="G171" s="411">
        <f>('Carichi unitari'!$C$11+'Carichi unitari'!$C$10)*C171*D171*E171*F171</f>
        <v>39.614025974025978</v>
      </c>
      <c r="H171" s="357">
        <f>'Carichi unitari'!$D$10*C171*D171*E171*F171</f>
        <v>14.399999999999999</v>
      </c>
      <c r="I171" s="411">
        <f>G171*$E$25+H171*$F$25</f>
        <v>73.098233766233776</v>
      </c>
      <c r="J171" s="421">
        <f>G171+H171*$H$24</f>
        <v>43.934025974025978</v>
      </c>
      <c r="K171" s="165">
        <v>2</v>
      </c>
      <c r="L171" s="166">
        <v>1.2</v>
      </c>
      <c r="M171" s="166">
        <v>2.5</v>
      </c>
      <c r="N171" s="209">
        <v>1.1000000000000001</v>
      </c>
      <c r="O171" s="411">
        <f>('Carichi unitari'!$C$11+'Carichi unitari'!$C$10)*K171*L171*M171*N171</f>
        <v>36.312857142857155</v>
      </c>
      <c r="P171" s="319">
        <f>'Carichi unitari'!$D$10*K171*L171*M171*N171</f>
        <v>13.200000000000001</v>
      </c>
      <c r="Q171" s="378">
        <f>O171*$E$25+P171*$F$25</f>
        <v>67.00671428571431</v>
      </c>
      <c r="R171" s="320">
        <f>O171+P171*$H$24</f>
        <v>40.272857142857156</v>
      </c>
      <c r="S171" s="165">
        <v>2</v>
      </c>
      <c r="T171" s="166">
        <v>1.2</v>
      </c>
      <c r="U171" s="166">
        <v>2.5</v>
      </c>
      <c r="V171" s="209">
        <v>1.1000000000000001</v>
      </c>
      <c r="W171" s="378">
        <f>('Carichi unitari'!$C$11+'Carichi unitari'!$C$10)*S171*T171*U171*V171</f>
        <v>36.312857142857155</v>
      </c>
      <c r="X171" s="319">
        <f>'Carichi unitari'!$D$10*S171*T171*U171*V171</f>
        <v>13.200000000000001</v>
      </c>
      <c r="Y171" s="378">
        <f>W171*$E$25+X171*$F$25</f>
        <v>67.00671428571431</v>
      </c>
      <c r="Z171" s="320">
        <f>W171+X171*$H$24</f>
        <v>40.272857142857156</v>
      </c>
      <c r="AA171" s="165">
        <v>2</v>
      </c>
      <c r="AB171" s="166">
        <v>1.2</v>
      </c>
      <c r="AC171" s="166">
        <v>2.5</v>
      </c>
      <c r="AD171" s="209">
        <v>1.1000000000000001</v>
      </c>
      <c r="AE171" s="378">
        <f>('Carichi unitari'!$C$11+'Carichi unitari'!$C$10)*AA171*AB171*AC171*AD171</f>
        <v>36.312857142857155</v>
      </c>
      <c r="AF171" s="319">
        <f>'Carichi unitari'!$D$10*AA171*AB171*AC171*AD171</f>
        <v>13.200000000000001</v>
      </c>
      <c r="AG171" s="378">
        <f>AE171*$E$25+AF171*$F$25</f>
        <v>67.00671428571431</v>
      </c>
      <c r="AH171" s="320">
        <f>AE171+AF171*$H$24</f>
        <v>40.272857142857156</v>
      </c>
      <c r="AI171" s="165">
        <v>2</v>
      </c>
      <c r="AJ171" s="166">
        <v>1.2</v>
      </c>
      <c r="AK171" s="166">
        <v>2.5</v>
      </c>
      <c r="AL171" s="209">
        <v>1.1000000000000001</v>
      </c>
      <c r="AM171" s="378">
        <f>('Carichi unitari'!$C$11+'Carichi unitari'!$C$10)*AI171*AJ171*AK171*AL171</f>
        <v>36.312857142857155</v>
      </c>
      <c r="AN171" s="319">
        <f>'Carichi unitari'!$D$10*AI171*AJ171*AK171*AL171</f>
        <v>13.200000000000001</v>
      </c>
      <c r="AO171" s="378">
        <f>AM171*$E$25+AN171*$F$25</f>
        <v>67.00671428571431</v>
      </c>
      <c r="AP171" s="320">
        <f>AM171+AN171*$H$24</f>
        <v>40.272857142857156</v>
      </c>
      <c r="AQ171" s="165">
        <v>2</v>
      </c>
      <c r="AR171" s="166">
        <v>1.2</v>
      </c>
      <c r="AS171" s="166">
        <v>2.5</v>
      </c>
      <c r="AT171" s="209">
        <v>1.1000000000000001</v>
      </c>
      <c r="AU171" s="378">
        <f>('Carichi unitari'!$C$11+'Carichi unitari'!$C$10)*AQ171*AR171*AS171*AT171</f>
        <v>36.312857142857155</v>
      </c>
      <c r="AV171" s="319">
        <f>'Carichi unitari'!$D$10*AQ171*AR171*AS171*AT171</f>
        <v>13.200000000000001</v>
      </c>
      <c r="AW171" s="378">
        <f>AU171*$E$25+AV171*$F$25</f>
        <v>67.00671428571431</v>
      </c>
      <c r="AX171" s="320">
        <f>AU171+AV171*$H$24</f>
        <v>40.272857142857156</v>
      </c>
    </row>
    <row r="172" spans="2:50" x14ac:dyDescent="0.3">
      <c r="B172" s="381" t="s">
        <v>42</v>
      </c>
      <c r="C172" s="37">
        <v>2.5</v>
      </c>
      <c r="D172" s="50">
        <v>1</v>
      </c>
      <c r="E172" s="50">
        <v>2</v>
      </c>
      <c r="F172" s="210">
        <v>1.2</v>
      </c>
      <c r="G172" s="412">
        <f>('Carichi unitari'!$C$11+'Carichi unitari'!$C$10)*C172*D172*E172*F172</f>
        <v>33.01168831168831</v>
      </c>
      <c r="H172" s="358">
        <f>'Carichi unitari'!$D$10*C172*D172*E172*F172</f>
        <v>12</v>
      </c>
      <c r="I172" s="412">
        <f>G172*$E$25+H172*$F$25</f>
        <v>60.915194805194808</v>
      </c>
      <c r="J172" s="417">
        <f>G172+H172*$H$24</f>
        <v>36.611688311688312</v>
      </c>
      <c r="K172" s="171">
        <v>2.5</v>
      </c>
      <c r="L172" s="50">
        <v>1</v>
      </c>
      <c r="M172" s="50">
        <v>2</v>
      </c>
      <c r="N172" s="210">
        <v>1.1000000000000001</v>
      </c>
      <c r="O172" s="412">
        <f>('Carichi unitari'!$C$11+'Carichi unitari'!$C$10)*K172*L172*M172*N172</f>
        <v>30.26071428571429</v>
      </c>
      <c r="P172" s="9">
        <f>'Carichi unitari'!$D$10*K172*L172*M172*N172</f>
        <v>11</v>
      </c>
      <c r="Q172" s="329">
        <f>O172*$E$25+P172*$F$25</f>
        <v>55.838928571428575</v>
      </c>
      <c r="R172" s="281">
        <f>O172+P172*$H$24</f>
        <v>33.56071428571429</v>
      </c>
      <c r="S172" s="171">
        <v>2.5</v>
      </c>
      <c r="T172" s="50">
        <v>1</v>
      </c>
      <c r="U172" s="50">
        <v>2</v>
      </c>
      <c r="V172" s="210">
        <v>1.1000000000000001</v>
      </c>
      <c r="W172" s="329">
        <f>('Carichi unitari'!$C$11+'Carichi unitari'!$C$10)*S172*T172*U172*V172</f>
        <v>30.26071428571429</v>
      </c>
      <c r="X172" s="9">
        <f>'Carichi unitari'!$D$10*S172*T172*U172*V172</f>
        <v>11</v>
      </c>
      <c r="Y172" s="329">
        <f>W172*$E$25+X172*$F$25</f>
        <v>55.838928571428575</v>
      </c>
      <c r="Z172" s="281">
        <f>W172+X172*$H$24</f>
        <v>33.56071428571429</v>
      </c>
      <c r="AA172" s="171">
        <v>2.5</v>
      </c>
      <c r="AB172" s="50">
        <v>1</v>
      </c>
      <c r="AC172" s="50">
        <v>2</v>
      </c>
      <c r="AD172" s="210">
        <v>1.1000000000000001</v>
      </c>
      <c r="AE172" s="329">
        <f>('Carichi unitari'!$C$11+'Carichi unitari'!$C$10)*AA172*AB172*AC172*AD172</f>
        <v>30.26071428571429</v>
      </c>
      <c r="AF172" s="9">
        <f>'Carichi unitari'!$D$10*AA172*AB172*AC172*AD172</f>
        <v>11</v>
      </c>
      <c r="AG172" s="329">
        <f>AE172*$E$25+AF172*$F$25</f>
        <v>55.838928571428575</v>
      </c>
      <c r="AH172" s="281">
        <f>AE172+AF172*$H$24</f>
        <v>33.56071428571429</v>
      </c>
      <c r="AI172" s="171">
        <v>2.5</v>
      </c>
      <c r="AJ172" s="50">
        <v>1</v>
      </c>
      <c r="AK172" s="50">
        <v>2</v>
      </c>
      <c r="AL172" s="210">
        <v>1.1000000000000001</v>
      </c>
      <c r="AM172" s="329">
        <f>('Carichi unitari'!$C$11+'Carichi unitari'!$C$10)*AI172*AJ172*AK172*AL172</f>
        <v>30.26071428571429</v>
      </c>
      <c r="AN172" s="9">
        <f>'Carichi unitari'!$D$10*AI172*AJ172*AK172*AL172</f>
        <v>11</v>
      </c>
      <c r="AO172" s="329">
        <f>AM172*$E$25+AN172*$F$25</f>
        <v>55.838928571428575</v>
      </c>
      <c r="AP172" s="281">
        <f>AM172+AN172*$H$24</f>
        <v>33.56071428571429</v>
      </c>
      <c r="AQ172" s="171">
        <v>2.5</v>
      </c>
      <c r="AR172" s="50">
        <v>1</v>
      </c>
      <c r="AS172" s="50">
        <v>2</v>
      </c>
      <c r="AT172" s="210">
        <v>1.1000000000000001</v>
      </c>
      <c r="AU172" s="329">
        <f>('Carichi unitari'!$C$11+'Carichi unitari'!$C$10)*AQ172*AR172*AS172*AT172</f>
        <v>30.26071428571429</v>
      </c>
      <c r="AV172" s="9">
        <f>'Carichi unitari'!$D$10*AQ172*AR172*AS172*AT172</f>
        <v>11</v>
      </c>
      <c r="AW172" s="329">
        <f>AU172*$E$25+AV172*$F$25</f>
        <v>55.838928571428575</v>
      </c>
      <c r="AX172" s="281">
        <f>AU172+AV172*$H$24</f>
        <v>33.56071428571429</v>
      </c>
    </row>
    <row r="173" spans="2:50" x14ac:dyDescent="0.3">
      <c r="B173" s="381" t="s">
        <v>42</v>
      </c>
      <c r="C173" s="37">
        <v>2.5</v>
      </c>
      <c r="D173" s="50">
        <v>1</v>
      </c>
      <c r="E173" s="50">
        <v>2.5</v>
      </c>
      <c r="F173" s="210">
        <v>1</v>
      </c>
      <c r="G173" s="412">
        <f>('Carichi unitari'!$C$11+'Carichi unitari'!$C$10)*C173*D173*E173*F173</f>
        <v>34.387175324675326</v>
      </c>
      <c r="H173" s="358">
        <f>'Carichi unitari'!$D$10*C173*D173*E173*F173</f>
        <v>12.5</v>
      </c>
      <c r="I173" s="412">
        <f>G173*$E$25+H173*$F$25</f>
        <v>63.453327922077925</v>
      </c>
      <c r="J173" s="417">
        <f>G173+H173*$H$24</f>
        <v>38.137175324675326</v>
      </c>
      <c r="K173" s="171">
        <v>2.5</v>
      </c>
      <c r="L173" s="50">
        <v>1</v>
      </c>
      <c r="M173" s="50">
        <v>2.5</v>
      </c>
      <c r="N173" s="210">
        <v>1</v>
      </c>
      <c r="O173" s="412">
        <f>('Carichi unitari'!$C$11+'Carichi unitari'!$C$10)*K173*L173*M173*N173</f>
        <v>34.387175324675326</v>
      </c>
      <c r="P173" s="9">
        <f>'Carichi unitari'!$D$10*K173*L173*M173*N173</f>
        <v>12.5</v>
      </c>
      <c r="Q173" s="329">
        <f>O173*$E$25+P173*$F$25</f>
        <v>63.453327922077925</v>
      </c>
      <c r="R173" s="281">
        <f>O173+P173*$H$24</f>
        <v>38.137175324675326</v>
      </c>
      <c r="S173" s="171">
        <v>2.5</v>
      </c>
      <c r="T173" s="50">
        <v>1</v>
      </c>
      <c r="U173" s="50">
        <v>2.5</v>
      </c>
      <c r="V173" s="210">
        <v>1</v>
      </c>
      <c r="W173" s="329">
        <f>('Carichi unitari'!$C$11+'Carichi unitari'!$C$10)*S173*T173*U173*V173</f>
        <v>34.387175324675326</v>
      </c>
      <c r="X173" s="9">
        <f>'Carichi unitari'!$D$10*S173*T173*U173*V173</f>
        <v>12.5</v>
      </c>
      <c r="Y173" s="329">
        <f>W173*$E$25+X173*$F$25</f>
        <v>63.453327922077925</v>
      </c>
      <c r="Z173" s="281">
        <f>W173+X173*$H$24</f>
        <v>38.137175324675326</v>
      </c>
      <c r="AA173" s="171">
        <v>2.5</v>
      </c>
      <c r="AB173" s="50">
        <v>1</v>
      </c>
      <c r="AC173" s="50">
        <v>2.5</v>
      </c>
      <c r="AD173" s="210">
        <v>1</v>
      </c>
      <c r="AE173" s="329">
        <f>('Carichi unitari'!$C$11+'Carichi unitari'!$C$10)*AA173*AB173*AC173*AD173</f>
        <v>34.387175324675326</v>
      </c>
      <c r="AF173" s="9">
        <f>'Carichi unitari'!$D$10*AA173*AB173*AC173*AD173</f>
        <v>12.5</v>
      </c>
      <c r="AG173" s="329">
        <f>AE173*$E$25+AF173*$F$25</f>
        <v>63.453327922077925</v>
      </c>
      <c r="AH173" s="281">
        <f>AE173+AF173*$H$24</f>
        <v>38.137175324675326</v>
      </c>
      <c r="AI173" s="171">
        <v>2.5</v>
      </c>
      <c r="AJ173" s="50">
        <v>1</v>
      </c>
      <c r="AK173" s="50">
        <v>2.5</v>
      </c>
      <c r="AL173" s="210">
        <v>1</v>
      </c>
      <c r="AM173" s="329">
        <f>('Carichi unitari'!$C$11+'Carichi unitari'!$C$10)*AI173*AJ173*AK173*AL173</f>
        <v>34.387175324675326</v>
      </c>
      <c r="AN173" s="9">
        <f>'Carichi unitari'!$D$10*AI173*AJ173*AK173*AL173</f>
        <v>12.5</v>
      </c>
      <c r="AO173" s="329">
        <f>AM173*$E$25+AN173*$F$25</f>
        <v>63.453327922077925</v>
      </c>
      <c r="AP173" s="281">
        <f>AM173+AN173*$H$24</f>
        <v>38.137175324675326</v>
      </c>
      <c r="AQ173" s="171">
        <v>2.5</v>
      </c>
      <c r="AR173" s="50">
        <v>1</v>
      </c>
      <c r="AS173" s="50">
        <v>2.5</v>
      </c>
      <c r="AT173" s="210">
        <v>1</v>
      </c>
      <c r="AU173" s="329">
        <f>('Carichi unitari'!$C$11+'Carichi unitari'!$C$10)*AQ173*AR173*AS173*AT173</f>
        <v>34.387175324675326</v>
      </c>
      <c r="AV173" s="9">
        <f>'Carichi unitari'!$D$10*AQ173*AR173*AS173*AT173</f>
        <v>12.5</v>
      </c>
      <c r="AW173" s="329">
        <f>AU173*$E$25+AV173*$F$25</f>
        <v>63.453327922077925</v>
      </c>
      <c r="AX173" s="281">
        <f>AU173+AV173*$H$24</f>
        <v>38.137175324675326</v>
      </c>
    </row>
    <row r="174" spans="2:50" x14ac:dyDescent="0.3">
      <c r="B174" s="382" t="s">
        <v>42</v>
      </c>
      <c r="C174" s="388">
        <v>2.5</v>
      </c>
      <c r="D174" s="414">
        <v>1.2</v>
      </c>
      <c r="E174" s="414">
        <v>2.5</v>
      </c>
      <c r="F174" s="424">
        <v>1.2</v>
      </c>
      <c r="G174" s="412">
        <f>('Carichi unitari'!$C$11+'Carichi unitari'!$C$10)*C174*D174*E174*F174</f>
        <v>49.517532467532469</v>
      </c>
      <c r="H174" s="358">
        <f>'Carichi unitari'!$D$10*C174*D174*E174*F174</f>
        <v>18</v>
      </c>
      <c r="I174" s="412">
        <f>G174*$E$25+H174*$F$25</f>
        <v>91.372792207792216</v>
      </c>
      <c r="J174" s="417">
        <f>G174+H174*$H$24</f>
        <v>54.917532467532467</v>
      </c>
      <c r="K174" s="413">
        <v>2.5</v>
      </c>
      <c r="L174" s="414">
        <v>1.1000000000000001</v>
      </c>
      <c r="M174" s="414">
        <v>2.5</v>
      </c>
      <c r="N174" s="424">
        <v>1.2</v>
      </c>
      <c r="O174" s="412">
        <f>('Carichi unitari'!$C$11+'Carichi unitari'!$C$10)*K174*L174*M174*N174</f>
        <v>45.391071428571429</v>
      </c>
      <c r="P174" s="9">
        <f>'Carichi unitari'!$D$10*K174*L174*M174*N174</f>
        <v>16.5</v>
      </c>
      <c r="Q174" s="329">
        <f>O174*$E$25+P174*$F$25</f>
        <v>83.758392857142866</v>
      </c>
      <c r="R174" s="281">
        <f>O174+P174*$H$24</f>
        <v>50.341071428571432</v>
      </c>
      <c r="S174" s="413">
        <v>2.5</v>
      </c>
      <c r="T174" s="414">
        <v>1.1000000000000001</v>
      </c>
      <c r="U174" s="414">
        <v>2.5</v>
      </c>
      <c r="V174" s="424">
        <v>1.2</v>
      </c>
      <c r="W174" s="329">
        <f>('Carichi unitari'!$C$11+'Carichi unitari'!$C$10)*S174*T174*U174*V174</f>
        <v>45.391071428571429</v>
      </c>
      <c r="X174" s="9">
        <f>'Carichi unitari'!$D$10*S174*T174*U174*V174</f>
        <v>16.5</v>
      </c>
      <c r="Y174" s="329">
        <f>W174*$E$25+X174*$F$25</f>
        <v>83.758392857142866</v>
      </c>
      <c r="Z174" s="281">
        <f>W174+X174*$H$24</f>
        <v>50.341071428571432</v>
      </c>
      <c r="AA174" s="413">
        <v>2.5</v>
      </c>
      <c r="AB174" s="414">
        <v>1.1000000000000001</v>
      </c>
      <c r="AC174" s="414">
        <v>2.5</v>
      </c>
      <c r="AD174" s="424">
        <v>1.2</v>
      </c>
      <c r="AE174" s="329">
        <f>('Carichi unitari'!$C$11+'Carichi unitari'!$C$10)*AA174*AB174*AC174*AD174</f>
        <v>45.391071428571429</v>
      </c>
      <c r="AF174" s="9">
        <f>'Carichi unitari'!$D$10*AA174*AB174*AC174*AD174</f>
        <v>16.5</v>
      </c>
      <c r="AG174" s="329">
        <f>AE174*$E$25+AF174*$F$25</f>
        <v>83.758392857142866</v>
      </c>
      <c r="AH174" s="281">
        <f>AE174+AF174*$H$24</f>
        <v>50.341071428571432</v>
      </c>
      <c r="AI174" s="413">
        <v>2.5</v>
      </c>
      <c r="AJ174" s="414">
        <v>1.1000000000000001</v>
      </c>
      <c r="AK174" s="414">
        <v>2.5</v>
      </c>
      <c r="AL174" s="424">
        <v>1.2</v>
      </c>
      <c r="AM174" s="329">
        <f>('Carichi unitari'!$C$11+'Carichi unitari'!$C$10)*AI174*AJ174*AK174*AL174</f>
        <v>45.391071428571429</v>
      </c>
      <c r="AN174" s="9">
        <f>'Carichi unitari'!$D$10*AI174*AJ174*AK174*AL174</f>
        <v>16.5</v>
      </c>
      <c r="AO174" s="329">
        <f>AM174*$E$25+AN174*$F$25</f>
        <v>83.758392857142866</v>
      </c>
      <c r="AP174" s="281">
        <f>AM174+AN174*$H$24</f>
        <v>50.341071428571432</v>
      </c>
      <c r="AQ174" s="413">
        <v>2.5</v>
      </c>
      <c r="AR174" s="414">
        <v>1.1000000000000001</v>
      </c>
      <c r="AS174" s="414">
        <v>2.5</v>
      </c>
      <c r="AT174" s="424">
        <v>1.2</v>
      </c>
      <c r="AU174" s="329">
        <f>('Carichi unitari'!$C$11+'Carichi unitari'!$C$10)*AQ174*AR174*AS174*AT174</f>
        <v>45.391071428571429</v>
      </c>
      <c r="AV174" s="9">
        <f>'Carichi unitari'!$D$10*AQ174*AR174*AS174*AT174</f>
        <v>16.5</v>
      </c>
      <c r="AW174" s="329">
        <f>AU174*$E$25+AV174*$F$25</f>
        <v>83.758392857142866</v>
      </c>
      <c r="AX174" s="281">
        <f>AU174+AV174*$H$24</f>
        <v>50.341071428571432</v>
      </c>
    </row>
    <row r="175" spans="2:50" x14ac:dyDescent="0.3">
      <c r="B175" s="383" t="s">
        <v>358</v>
      </c>
      <c r="C175" s="388">
        <v>2</v>
      </c>
      <c r="D175" s="414">
        <v>1.2</v>
      </c>
      <c r="E175" s="414">
        <v>2.5</v>
      </c>
      <c r="F175" s="414">
        <v>1.2</v>
      </c>
      <c r="G175" s="416">
        <f>(C175*D175+E175*F175)*'Carichi unitari'!$C$17</f>
        <v>26.940740259740263</v>
      </c>
      <c r="H175" s="416"/>
      <c r="I175" s="416">
        <f>G175*$E$25</f>
        <v>35.022962337662342</v>
      </c>
      <c r="J175" s="418">
        <f>G175</f>
        <v>26.940740259740263</v>
      </c>
      <c r="K175" s="413">
        <v>2</v>
      </c>
      <c r="L175" s="414">
        <v>1.1000000000000001</v>
      </c>
      <c r="M175" s="414">
        <v>2.5</v>
      </c>
      <c r="N175" s="414">
        <v>1.1000000000000001</v>
      </c>
      <c r="O175" s="416">
        <f>(K175*L175+M175*N175)*'Carichi unitari'!$C$17</f>
        <v>24.695678571428573</v>
      </c>
      <c r="P175" s="16"/>
      <c r="Q175" s="16">
        <f>O175*$E$25</f>
        <v>32.104382142857148</v>
      </c>
      <c r="R175" s="356">
        <f>O175</f>
        <v>24.695678571428573</v>
      </c>
      <c r="S175" s="413">
        <v>2</v>
      </c>
      <c r="T175" s="414">
        <v>1.1000000000000001</v>
      </c>
      <c r="U175" s="414">
        <v>2.5</v>
      </c>
      <c r="V175" s="414">
        <v>1.1000000000000001</v>
      </c>
      <c r="W175" s="16">
        <f>(S175*T175+U175*V175)*'Carichi unitari'!$C$17</f>
        <v>24.695678571428573</v>
      </c>
      <c r="X175" s="16"/>
      <c r="Y175" s="16">
        <f>W175*$E$25</f>
        <v>32.104382142857148</v>
      </c>
      <c r="Z175" s="356">
        <f>W175</f>
        <v>24.695678571428573</v>
      </c>
      <c r="AA175" s="413">
        <v>2</v>
      </c>
      <c r="AB175" s="414">
        <v>1.1000000000000001</v>
      </c>
      <c r="AC175" s="414">
        <v>2.5</v>
      </c>
      <c r="AD175" s="414">
        <v>1.1000000000000001</v>
      </c>
      <c r="AE175" s="16">
        <f>(AA175*AB175+AC175*AD175)*'Carichi unitari'!$C$18</f>
        <v>20.983178571428571</v>
      </c>
      <c r="AF175" s="16"/>
      <c r="AG175" s="16">
        <f>AE175*$E$25</f>
        <v>27.278132142857142</v>
      </c>
      <c r="AH175" s="356">
        <f>AE175</f>
        <v>20.983178571428571</v>
      </c>
      <c r="AI175" s="413">
        <v>2</v>
      </c>
      <c r="AJ175" s="414">
        <v>1.1000000000000001</v>
      </c>
      <c r="AK175" s="414">
        <v>2.5</v>
      </c>
      <c r="AL175" s="414">
        <v>1.1000000000000001</v>
      </c>
      <c r="AM175" s="16">
        <f>(AI175*AJ175+AK175*AL175)*'Carichi unitari'!$C$18</f>
        <v>20.983178571428571</v>
      </c>
      <c r="AN175" s="16"/>
      <c r="AO175" s="16">
        <f>AM175*$E$25</f>
        <v>27.278132142857142</v>
      </c>
      <c r="AP175" s="356">
        <f>AM175</f>
        <v>20.983178571428571</v>
      </c>
      <c r="AQ175" s="413">
        <v>2</v>
      </c>
      <c r="AR175" s="414">
        <v>1.1000000000000001</v>
      </c>
      <c r="AS175" s="414">
        <v>2.5</v>
      </c>
      <c r="AT175" s="414">
        <v>1.1000000000000001</v>
      </c>
      <c r="AU175" s="16">
        <f>(AQ175*AR175+AS175*AT175)*'Carichi unitari'!$C$19</f>
        <v>17.270678571428572</v>
      </c>
      <c r="AV175" s="16"/>
      <c r="AW175" s="16">
        <f>AU175*$E$25</f>
        <v>22.451882142857144</v>
      </c>
      <c r="AX175" s="356">
        <f>AU175</f>
        <v>17.270678571428572</v>
      </c>
    </row>
    <row r="176" spans="2:50" x14ac:dyDescent="0.3">
      <c r="B176" s="383" t="s">
        <v>359</v>
      </c>
      <c r="C176" s="388">
        <v>2.5</v>
      </c>
      <c r="D176" s="414">
        <v>1</v>
      </c>
      <c r="E176" s="414">
        <v>2.5</v>
      </c>
      <c r="F176" s="414">
        <v>1</v>
      </c>
      <c r="G176" s="358">
        <f>(C176*D176+E176*F176)*'Carichi unitari'!$C$21</f>
        <v>9.2341558441558433</v>
      </c>
      <c r="H176" s="358"/>
      <c r="I176" s="358">
        <f>G176*$E$25</f>
        <v>12.004402597402597</v>
      </c>
      <c r="J176" s="417">
        <f>G176</f>
        <v>9.2341558441558433</v>
      </c>
      <c r="K176" s="413">
        <v>2.5</v>
      </c>
      <c r="L176" s="414">
        <v>1</v>
      </c>
      <c r="M176" s="414">
        <v>2.5</v>
      </c>
      <c r="N176" s="414">
        <v>1</v>
      </c>
      <c r="O176" s="9">
        <f>(K176*L176+M176*N176)*'Carichi unitari'!$C$21</f>
        <v>9.2341558441558433</v>
      </c>
      <c r="P176" s="9"/>
      <c r="Q176" s="9">
        <f>O176*$E$25</f>
        <v>12.004402597402597</v>
      </c>
      <c r="R176" s="281">
        <f>O176</f>
        <v>9.2341558441558433</v>
      </c>
      <c r="S176" s="413">
        <v>2.5</v>
      </c>
      <c r="T176" s="414">
        <v>1</v>
      </c>
      <c r="U176" s="414">
        <v>2.5</v>
      </c>
      <c r="V176" s="414">
        <v>1</v>
      </c>
      <c r="W176" s="9">
        <f>(S176*T176+U176*V176)*'Carichi unitari'!$C$21</f>
        <v>9.2341558441558433</v>
      </c>
      <c r="X176" s="9"/>
      <c r="Y176" s="9">
        <f>W176*$E$25</f>
        <v>12.004402597402597</v>
      </c>
      <c r="Z176" s="281">
        <f>W176</f>
        <v>9.2341558441558433</v>
      </c>
      <c r="AA176" s="413">
        <v>2.5</v>
      </c>
      <c r="AB176" s="414">
        <v>1</v>
      </c>
      <c r="AC176" s="414">
        <v>2.5</v>
      </c>
      <c r="AD176" s="414">
        <v>1</v>
      </c>
      <c r="AE176" s="9">
        <f>(AA176*AB176+AC176*AD176)*'Carichi unitari'!$C$21</f>
        <v>9.2341558441558433</v>
      </c>
      <c r="AF176" s="9"/>
      <c r="AG176" s="9">
        <f>AE176*$E$25</f>
        <v>12.004402597402597</v>
      </c>
      <c r="AH176" s="281">
        <f>AE176</f>
        <v>9.2341558441558433</v>
      </c>
      <c r="AI176" s="413">
        <v>2.5</v>
      </c>
      <c r="AJ176" s="414">
        <v>1</v>
      </c>
      <c r="AK176" s="414">
        <v>2.5</v>
      </c>
      <c r="AL176" s="414">
        <v>1</v>
      </c>
      <c r="AM176" s="9">
        <f>(AI176*AJ176+AK176*AL176)*'Carichi unitari'!$C$21</f>
        <v>9.2341558441558433</v>
      </c>
      <c r="AN176" s="9"/>
      <c r="AO176" s="9">
        <f>AM176*$E$25</f>
        <v>12.004402597402597</v>
      </c>
      <c r="AP176" s="281">
        <f>AM176</f>
        <v>9.2341558441558433</v>
      </c>
      <c r="AQ176" s="413">
        <v>2.5</v>
      </c>
      <c r="AR176" s="414">
        <v>1</v>
      </c>
      <c r="AS176" s="414">
        <v>2.5</v>
      </c>
      <c r="AT176" s="414">
        <v>1</v>
      </c>
      <c r="AU176" s="9">
        <f>(AQ176*AR176+AS176*AT176)*'Carichi unitari'!$C$21</f>
        <v>9.2341558441558433</v>
      </c>
      <c r="AV176" s="9"/>
      <c r="AW176" s="9">
        <f>AU176*$E$25</f>
        <v>12.004402597402597</v>
      </c>
      <c r="AX176" s="281">
        <f>AU176</f>
        <v>9.2341558441558433</v>
      </c>
    </row>
    <row r="177" spans="2:50" x14ac:dyDescent="0.3">
      <c r="B177" s="383" t="s">
        <v>247</v>
      </c>
      <c r="C177" s="388"/>
      <c r="D177" s="385"/>
      <c r="E177" s="385"/>
      <c r="F177" s="385"/>
      <c r="G177" s="9">
        <f>'Carichi unitari'!$C$23</f>
        <v>16.799999999999997</v>
      </c>
      <c r="H177" s="9"/>
      <c r="I177" s="9">
        <f>G177*$E$25</f>
        <v>21.839999999999996</v>
      </c>
      <c r="J177" s="281">
        <f>G177</f>
        <v>16.799999999999997</v>
      </c>
      <c r="K177" s="388"/>
      <c r="L177" s="385"/>
      <c r="M177" s="385"/>
      <c r="N177" s="385"/>
      <c r="O177" s="9">
        <f>'Carichi unitari'!$C$24</f>
        <v>14.400000000000002</v>
      </c>
      <c r="P177" s="9"/>
      <c r="Q177" s="9">
        <f>O177*$E$25</f>
        <v>18.720000000000002</v>
      </c>
      <c r="R177" s="281">
        <f>O177</f>
        <v>14.400000000000002</v>
      </c>
      <c r="S177" s="388"/>
      <c r="T177" s="385"/>
      <c r="U177" s="385"/>
      <c r="V177" s="385"/>
      <c r="W177" s="9">
        <f>'Carichi unitari'!$C$25</f>
        <v>13.125</v>
      </c>
      <c r="X177" s="9"/>
      <c r="Y177" s="9">
        <f>W177*$E$25</f>
        <v>17.0625</v>
      </c>
      <c r="Z177" s="281">
        <f>W177</f>
        <v>13.125</v>
      </c>
      <c r="AA177" s="388"/>
      <c r="AB177" s="385"/>
      <c r="AC177" s="385"/>
      <c r="AD177" s="385"/>
      <c r="AE177" s="9">
        <f>'Carichi unitari'!$C$25</f>
        <v>13.125</v>
      </c>
      <c r="AF177" s="9"/>
      <c r="AG177" s="9">
        <f>AE177*$E$25</f>
        <v>17.0625</v>
      </c>
      <c r="AH177" s="281">
        <f>AE177</f>
        <v>13.125</v>
      </c>
      <c r="AI177" s="388"/>
      <c r="AJ177" s="385"/>
      <c r="AK177" s="385"/>
      <c r="AL177" s="385"/>
      <c r="AM177" s="9">
        <f>'Carichi unitari'!$C$26</f>
        <v>11.700000000000001</v>
      </c>
      <c r="AN177" s="9"/>
      <c r="AO177" s="9">
        <f>AM177*$E$25</f>
        <v>15.210000000000003</v>
      </c>
      <c r="AP177" s="281">
        <f>AM177</f>
        <v>11.700000000000001</v>
      </c>
      <c r="AQ177" s="388"/>
      <c r="AR177" s="385"/>
      <c r="AS177" s="385"/>
      <c r="AT177" s="385"/>
      <c r="AU177" s="9">
        <f>'Carichi unitari'!$C$26</f>
        <v>11.700000000000001</v>
      </c>
      <c r="AV177" s="9"/>
      <c r="AW177" s="9">
        <f>AU177*$E$25</f>
        <v>15.210000000000003</v>
      </c>
      <c r="AX177" s="281">
        <f>AU177</f>
        <v>11.700000000000001</v>
      </c>
    </row>
    <row r="178" spans="2:50" ht="15" thickBot="1" x14ac:dyDescent="0.35">
      <c r="B178" s="384" t="s">
        <v>380</v>
      </c>
      <c r="C178" s="389"/>
      <c r="D178" s="390"/>
      <c r="E178" s="390"/>
      <c r="F178" s="390"/>
      <c r="G178" s="301"/>
      <c r="H178" s="301"/>
      <c r="I178" s="350">
        <f>SUM(I171:I177)</f>
        <v>357.70691363636365</v>
      </c>
      <c r="J178" s="352">
        <f>SUM(J171:J177)</f>
        <v>226.5753181818182</v>
      </c>
      <c r="K178" s="389"/>
      <c r="L178" s="390"/>
      <c r="M178" s="390"/>
      <c r="N178" s="390"/>
      <c r="O178" s="301"/>
      <c r="P178" s="301"/>
      <c r="Q178" s="350">
        <f>SUM(Q171:Q177)</f>
        <v>332.88614837662345</v>
      </c>
      <c r="R178" s="352">
        <f>SUM(R171:R177)</f>
        <v>210.64165259740264</v>
      </c>
      <c r="S178" s="389"/>
      <c r="T178" s="390"/>
      <c r="U178" s="390"/>
      <c r="V178" s="390"/>
      <c r="W178" s="301"/>
      <c r="X178" s="301"/>
      <c r="Y178" s="350">
        <f>SUM(Y171:Y177)</f>
        <v>331.22864837662343</v>
      </c>
      <c r="Z178" s="352">
        <f>SUM(Z171:Z177)</f>
        <v>209.36665259740263</v>
      </c>
      <c r="AA178" s="389"/>
      <c r="AB178" s="390"/>
      <c r="AC178" s="390"/>
      <c r="AD178" s="390"/>
      <c r="AE178" s="301"/>
      <c r="AF178" s="301"/>
      <c r="AG178" s="350">
        <f>SUM(AG171:AG177)</f>
        <v>326.40239837662341</v>
      </c>
      <c r="AH178" s="352">
        <f>SUM(AH171:AH177)</f>
        <v>205.65415259740263</v>
      </c>
      <c r="AI178" s="389"/>
      <c r="AJ178" s="390"/>
      <c r="AK178" s="390"/>
      <c r="AL178" s="390"/>
      <c r="AM178" s="301"/>
      <c r="AN178" s="301"/>
      <c r="AO178" s="350">
        <f>SUM(AO171:AO177)</f>
        <v>324.54989837662339</v>
      </c>
      <c r="AP178" s="352">
        <f>SUM(AP171:AP177)</f>
        <v>204.22915259740262</v>
      </c>
      <c r="AQ178" s="389"/>
      <c r="AR178" s="390"/>
      <c r="AS178" s="390"/>
      <c r="AT178" s="390"/>
      <c r="AU178" s="301"/>
      <c r="AV178" s="301"/>
      <c r="AW178" s="350">
        <f>SUM(AW171:AW177)</f>
        <v>319.72364837662337</v>
      </c>
      <c r="AX178" s="352">
        <f>SUM(AX171:AX177)</f>
        <v>200.51665259740261</v>
      </c>
    </row>
  </sheetData>
  <mergeCells count="114">
    <mergeCell ref="M2:N2"/>
    <mergeCell ref="O2:P2"/>
    <mergeCell ref="C18:D18"/>
    <mergeCell ref="C19:D19"/>
    <mergeCell ref="C17:D17"/>
    <mergeCell ref="E2:F2"/>
    <mergeCell ref="G2:H2"/>
    <mergeCell ref="I2:J2"/>
    <mergeCell ref="K2:L2"/>
    <mergeCell ref="AQ169:AX169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69:J169"/>
    <mergeCell ref="K169:R169"/>
    <mergeCell ref="S169:Z169"/>
    <mergeCell ref="AA169:AH169"/>
    <mergeCell ref="AI169:AP169"/>
    <mergeCell ref="AQ139:AX139"/>
    <mergeCell ref="C159:J159"/>
    <mergeCell ref="K159:R159"/>
    <mergeCell ref="S159:Z159"/>
    <mergeCell ref="AA159:AH159"/>
    <mergeCell ref="AI159:AP159"/>
    <mergeCell ref="AQ159:AX159"/>
    <mergeCell ref="C149:J149"/>
    <mergeCell ref="K149:R149"/>
    <mergeCell ref="S149:Z149"/>
    <mergeCell ref="AA149:AH149"/>
    <mergeCell ref="AI149:AP149"/>
    <mergeCell ref="AQ149:AX149"/>
    <mergeCell ref="C139:J139"/>
    <mergeCell ref="K139:R139"/>
    <mergeCell ref="S139:Z139"/>
    <mergeCell ref="AA139:AH139"/>
    <mergeCell ref="AI139:AP139"/>
    <mergeCell ref="AQ129:AX129"/>
    <mergeCell ref="C47:J47"/>
    <mergeCell ref="K47:R47"/>
    <mergeCell ref="S47:Z47"/>
    <mergeCell ref="AA47:AH47"/>
    <mergeCell ref="AI47:AP47"/>
    <mergeCell ref="AQ47:AX47"/>
    <mergeCell ref="C129:J129"/>
    <mergeCell ref="K129:R129"/>
    <mergeCell ref="S129:Z129"/>
    <mergeCell ref="AA129:AH129"/>
    <mergeCell ref="AI129:AP129"/>
    <mergeCell ref="AQ67:AX67"/>
    <mergeCell ref="C57:J57"/>
    <mergeCell ref="K57:R57"/>
    <mergeCell ref="S57:Z57"/>
    <mergeCell ref="AA57:AH57"/>
    <mergeCell ref="AI57:AP57"/>
    <mergeCell ref="AQ57:AX57"/>
    <mergeCell ref="E23:F23"/>
    <mergeCell ref="C27:J27"/>
    <mergeCell ref="K27:R27"/>
    <mergeCell ref="S27:Z27"/>
    <mergeCell ref="AA27:AH27"/>
    <mergeCell ref="AQ27:AX27"/>
    <mergeCell ref="C37:J37"/>
    <mergeCell ref="K37:R37"/>
    <mergeCell ref="S37:Z37"/>
    <mergeCell ref="AA37:AH37"/>
    <mergeCell ref="AI37:AP37"/>
    <mergeCell ref="AQ37:AX37"/>
    <mergeCell ref="AI27:AP27"/>
    <mergeCell ref="C67:J67"/>
    <mergeCell ref="K67:R67"/>
    <mergeCell ref="S67:Z67"/>
    <mergeCell ref="AA67:AH67"/>
    <mergeCell ref="AI67:AP67"/>
    <mergeCell ref="AQ77:AX77"/>
    <mergeCell ref="C87:J87"/>
    <mergeCell ref="K87:R87"/>
    <mergeCell ref="S87:Z87"/>
    <mergeCell ref="AA87:AH87"/>
    <mergeCell ref="AI87:AP87"/>
    <mergeCell ref="AQ87:AX87"/>
    <mergeCell ref="C77:J77"/>
    <mergeCell ref="K77:R77"/>
    <mergeCell ref="S77:Z77"/>
    <mergeCell ref="AA77:AH77"/>
    <mergeCell ref="AI77:AP77"/>
    <mergeCell ref="AQ118:AX118"/>
    <mergeCell ref="C118:J118"/>
    <mergeCell ref="K118:R118"/>
    <mergeCell ref="S118:Z118"/>
    <mergeCell ref="AA118:AH118"/>
    <mergeCell ref="AI118:AP118"/>
    <mergeCell ref="AQ97:AX97"/>
    <mergeCell ref="C107:J107"/>
    <mergeCell ref="K107:R107"/>
    <mergeCell ref="S107:Z107"/>
    <mergeCell ref="AA107:AH107"/>
    <mergeCell ref="AI107:AP107"/>
    <mergeCell ref="AQ107:AX107"/>
    <mergeCell ref="C97:J97"/>
    <mergeCell ref="K97:R97"/>
    <mergeCell ref="S97:Z97"/>
    <mergeCell ref="AA97:AH97"/>
    <mergeCell ref="AI97:AP97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I37"/>
  <sheetViews>
    <sheetView topLeftCell="A13" workbookViewId="0">
      <selection activeCell="K33" sqref="K33"/>
    </sheetView>
  </sheetViews>
  <sheetFormatPr defaultRowHeight="14.4" x14ac:dyDescent="0.3"/>
  <cols>
    <col min="4" max="4" width="7" customWidth="1"/>
    <col min="5" max="27" width="11.77734375" customWidth="1"/>
    <col min="28" max="29" width="10.77734375" customWidth="1"/>
  </cols>
  <sheetData>
    <row r="2" spans="2:16" ht="15.6" x14ac:dyDescent="0.3">
      <c r="E2" s="610" t="s">
        <v>343</v>
      </c>
      <c r="F2" s="610"/>
      <c r="G2" s="610" t="s">
        <v>349</v>
      </c>
      <c r="H2" s="610"/>
      <c r="I2" s="610" t="s">
        <v>350</v>
      </c>
      <c r="J2" s="610"/>
      <c r="K2" s="610" t="s">
        <v>351</v>
      </c>
      <c r="L2" s="610"/>
      <c r="M2" s="610" t="s">
        <v>352</v>
      </c>
      <c r="N2" s="610"/>
      <c r="O2" s="610" t="s">
        <v>364</v>
      </c>
      <c r="P2" s="610"/>
    </row>
    <row r="3" spans="2:16" ht="18" thickBot="1" x14ac:dyDescent="0.35">
      <c r="E3" s="360" t="s">
        <v>344</v>
      </c>
      <c r="F3" s="360" t="s">
        <v>342</v>
      </c>
      <c r="G3" s="360" t="s">
        <v>344</v>
      </c>
      <c r="H3" s="360" t="s">
        <v>342</v>
      </c>
      <c r="I3" s="360" t="s">
        <v>344</v>
      </c>
      <c r="J3" s="360" t="s">
        <v>342</v>
      </c>
      <c r="K3" s="360" t="s">
        <v>344</v>
      </c>
      <c r="L3" s="360" t="s">
        <v>342</v>
      </c>
      <c r="M3" s="360" t="s">
        <v>344</v>
      </c>
      <c r="N3" s="360" t="s">
        <v>342</v>
      </c>
      <c r="O3" s="360" t="s">
        <v>344</v>
      </c>
      <c r="P3" s="360" t="s">
        <v>342</v>
      </c>
    </row>
    <row r="4" spans="2:16" ht="15.6" x14ac:dyDescent="0.3">
      <c r="B4" s="613" t="s">
        <v>330</v>
      </c>
      <c r="C4" s="613"/>
      <c r="D4" s="614"/>
      <c r="E4" s="361">
        <f>' Masse e forze'!$B$4-' Masse e forze'!$F$4</f>
        <v>319</v>
      </c>
      <c r="F4" s="362">
        <f>E4*'Carichi unitari'!$H$10</f>
        <v>1563.7214285714285</v>
      </c>
      <c r="G4" s="361">
        <f>' Masse e forze'!$B$4-' Masse e forze'!$F$4</f>
        <v>319</v>
      </c>
      <c r="H4" s="362">
        <f>G4*'Carichi unitari'!$H$10</f>
        <v>1563.7214285714285</v>
      </c>
      <c r="I4" s="361">
        <f>' Masse e forze'!$B$4-' Masse e forze'!$F$4</f>
        <v>319</v>
      </c>
      <c r="J4" s="362">
        <f>I4*'Carichi unitari'!$H$10</f>
        <v>1563.7214285714285</v>
      </c>
      <c r="K4" s="361">
        <f>' Masse e forze'!$B$4-' Masse e forze'!$F$4</f>
        <v>319</v>
      </c>
      <c r="L4" s="362">
        <f>K4*'Carichi unitari'!$H$10</f>
        <v>1563.7214285714285</v>
      </c>
      <c r="M4" s="361">
        <f>' Masse e forze'!$B$4-' Masse e forze'!$F$4</f>
        <v>319</v>
      </c>
      <c r="N4" s="362">
        <f>M4*'Carichi unitari'!$H$10</f>
        <v>1563.7214285714285</v>
      </c>
      <c r="O4" s="367"/>
      <c r="P4" s="368"/>
    </row>
    <row r="5" spans="2:16" ht="15.6" x14ac:dyDescent="0.3">
      <c r="B5" s="613" t="s">
        <v>331</v>
      </c>
      <c r="C5" s="613"/>
      <c r="D5" s="614"/>
      <c r="E5" s="363"/>
      <c r="F5" s="47"/>
      <c r="G5" s="363"/>
      <c r="H5" s="47"/>
      <c r="I5" s="363"/>
      <c r="J5" s="47"/>
      <c r="K5" s="363"/>
      <c r="L5" s="47"/>
      <c r="M5" s="363"/>
      <c r="N5" s="47"/>
      <c r="O5" s="363">
        <f>' Masse e forze'!$B$4-' Masse e forze'!$F$4</f>
        <v>319</v>
      </c>
      <c r="P5" s="47">
        <f>O5*'Carichi unitari'!H12</f>
        <v>1582.8614285714289</v>
      </c>
    </row>
    <row r="6" spans="2:16" x14ac:dyDescent="0.3">
      <c r="B6" s="611" t="s">
        <v>4</v>
      </c>
      <c r="C6" s="611"/>
      <c r="D6" s="612"/>
      <c r="E6" s="363">
        <v>112</v>
      </c>
      <c r="F6" s="47">
        <f>E6*'Carichi unitari'!$H$13</f>
        <v>341.15872000000002</v>
      </c>
      <c r="G6" s="363">
        <v>112</v>
      </c>
      <c r="H6" s="47">
        <f>G6*'Carichi unitari'!$H$13</f>
        <v>341.15872000000002</v>
      </c>
      <c r="I6" s="363">
        <v>112</v>
      </c>
      <c r="J6" s="47">
        <f>I6*'Carichi unitari'!$H$13</f>
        <v>341.15872000000002</v>
      </c>
      <c r="K6" s="363">
        <v>112</v>
      </c>
      <c r="L6" s="47">
        <f>K6*'Carichi unitari'!$H$13</f>
        <v>341.15872000000002</v>
      </c>
      <c r="M6" s="363">
        <v>112</v>
      </c>
      <c r="N6" s="47">
        <f>M6*'Carichi unitari'!$H$13</f>
        <v>341.15872000000002</v>
      </c>
      <c r="O6" s="363">
        <f>M6/2</f>
        <v>56</v>
      </c>
      <c r="P6" s="47">
        <f>O6*'Carichi unitari'!$H$13</f>
        <v>170.57936000000001</v>
      </c>
    </row>
    <row r="7" spans="2:16" x14ac:dyDescent="0.3">
      <c r="B7" s="611" t="s">
        <v>332</v>
      </c>
      <c r="C7" s="611"/>
      <c r="D7" s="612"/>
      <c r="E7" s="363"/>
      <c r="F7" s="47"/>
      <c r="G7" s="363">
        <f>' Masse e forze'!$D$4-' Masse e forze'!$C$4</f>
        <v>71</v>
      </c>
      <c r="H7" s="47">
        <f>G7*'Carichi unitari'!$H$14</f>
        <v>449.47107438016536</v>
      </c>
      <c r="I7" s="363">
        <f>' Masse e forze'!$D$4-' Masse e forze'!$C$4</f>
        <v>71</v>
      </c>
      <c r="J7" s="47">
        <f>I7*'Carichi unitari'!$H$14</f>
        <v>449.47107438016536</v>
      </c>
      <c r="K7" s="363">
        <f>' Masse e forze'!$D$4-' Masse e forze'!$C$4</f>
        <v>71</v>
      </c>
      <c r="L7" s="47">
        <f>K7*'Carichi unitari'!$H$14</f>
        <v>449.47107438016536</v>
      </c>
      <c r="M7" s="363">
        <f>' Masse e forze'!$D$4-' Masse e forze'!$C$4</f>
        <v>71</v>
      </c>
      <c r="N7" s="47">
        <f>M7*'Carichi unitari'!$H$14</f>
        <v>449.47107438016536</v>
      </c>
      <c r="O7" s="363"/>
      <c r="P7" s="47"/>
    </row>
    <row r="8" spans="2:16" x14ac:dyDescent="0.3">
      <c r="B8" s="611" t="s">
        <v>251</v>
      </c>
      <c r="C8" s="611"/>
      <c r="D8" s="612"/>
      <c r="E8" s="363"/>
      <c r="F8" s="47"/>
      <c r="G8" s="363"/>
      <c r="H8" s="47"/>
      <c r="I8" s="363"/>
      <c r="J8" s="47"/>
      <c r="K8" s="363"/>
      <c r="L8" s="47"/>
      <c r="M8" s="363"/>
      <c r="N8" s="47"/>
      <c r="O8" s="363">
        <f>' Masse e forze'!E4-' Masse e forze'!B4</f>
        <v>36</v>
      </c>
      <c r="P8" s="47">
        <f>O8*'Carichi unitari'!H15</f>
        <v>136.79999999999998</v>
      </c>
    </row>
    <row r="9" spans="2:16" x14ac:dyDescent="0.3">
      <c r="B9" s="611" t="s">
        <v>7</v>
      </c>
      <c r="C9" s="611"/>
      <c r="D9" s="612"/>
      <c r="E9" s="364">
        <f>' Masse e forze'!$F$4</f>
        <v>25</v>
      </c>
      <c r="F9" s="47">
        <f>E9*'Carichi unitari'!$H$16</f>
        <v>236.20500000000004</v>
      </c>
      <c r="G9" s="364">
        <f>' Masse e forze'!$F$4</f>
        <v>25</v>
      </c>
      <c r="H9" s="47">
        <f>G9*'Carichi unitari'!$H$16</f>
        <v>236.20500000000004</v>
      </c>
      <c r="I9" s="364">
        <f>' Masse e forze'!$F$4</f>
        <v>25</v>
      </c>
      <c r="J9" s="47">
        <f>I9*'Carichi unitari'!$H$16</f>
        <v>236.20500000000004</v>
      </c>
      <c r="K9" s="364">
        <f>' Masse e forze'!$F$4</f>
        <v>25</v>
      </c>
      <c r="L9" s="47">
        <f>K9*'Carichi unitari'!$H$16</f>
        <v>236.20500000000004</v>
      </c>
      <c r="M9" s="364">
        <f>' Masse e forze'!$F$4</f>
        <v>25</v>
      </c>
      <c r="N9" s="47">
        <f>M9*'Carichi unitari'!$H$16</f>
        <v>236.20500000000004</v>
      </c>
      <c r="O9" s="399">
        <f>' Masse e forze'!$F$4</f>
        <v>25</v>
      </c>
      <c r="P9" s="47">
        <f>O9*'Carichi unitari'!$H$16</f>
        <v>236.20500000000004</v>
      </c>
    </row>
    <row r="10" spans="2:16" x14ac:dyDescent="0.3">
      <c r="B10" s="611" t="s">
        <v>334</v>
      </c>
      <c r="C10" s="611"/>
      <c r="D10" s="612"/>
      <c r="E10" s="364">
        <f>9.1*2+13.8*2+8.5+15.8*5+10.5</f>
        <v>143.80000000000001</v>
      </c>
      <c r="F10" s="47">
        <f>E10*'Carichi unitari'!$H$17</f>
        <v>717.42193506493516</v>
      </c>
      <c r="G10" s="364">
        <f>9.1*2+13.8*2+8.5+15.8*5+10.5</f>
        <v>143.80000000000001</v>
      </c>
      <c r="H10" s="47">
        <f>G10*'Carichi unitari'!$H$17</f>
        <v>717.42193506493516</v>
      </c>
      <c r="I10" s="364">
        <f>9.1*2+13.8*2+8.5+15.8*5+10.5</f>
        <v>143.80000000000001</v>
      </c>
      <c r="J10" s="47">
        <f>I10*'Carichi unitari'!$H$17</f>
        <v>717.42193506493516</v>
      </c>
      <c r="K10" s="364"/>
      <c r="L10" s="47"/>
      <c r="M10" s="364"/>
      <c r="N10" s="47"/>
      <c r="O10" s="364"/>
      <c r="P10" s="47"/>
    </row>
    <row r="11" spans="2:16" x14ac:dyDescent="0.3">
      <c r="B11" s="611" t="s">
        <v>333</v>
      </c>
      <c r="C11" s="611"/>
      <c r="D11" s="612"/>
      <c r="E11" s="363"/>
      <c r="F11" s="47"/>
      <c r="G11" s="363"/>
      <c r="H11" s="47"/>
      <c r="I11" s="363"/>
      <c r="J11" s="47"/>
      <c r="K11" s="364">
        <f>9.1*2+13.8*2+8.5+15.8*5+10.5</f>
        <v>143.80000000000001</v>
      </c>
      <c r="L11" s="47">
        <f>K11*'Carichi unitari'!$H$18</f>
        <v>609.57193506493502</v>
      </c>
      <c r="M11" s="364">
        <f>9.1*2+13.8*2+8.5+15.8*5+10.5</f>
        <v>143.80000000000001</v>
      </c>
      <c r="N11" s="47">
        <f>M11*'Carichi unitari'!$H$18</f>
        <v>609.57193506493502</v>
      </c>
      <c r="O11" s="193"/>
      <c r="P11" s="117"/>
    </row>
    <row r="12" spans="2:16" x14ac:dyDescent="0.3">
      <c r="B12" s="611" t="s">
        <v>335</v>
      </c>
      <c r="C12" s="611"/>
      <c r="D12" s="612"/>
      <c r="E12" s="363"/>
      <c r="F12" s="47"/>
      <c r="G12" s="363"/>
      <c r="H12" s="47"/>
      <c r="I12" s="363"/>
      <c r="J12" s="47"/>
      <c r="K12" s="363"/>
      <c r="L12" s="47"/>
      <c r="M12" s="363"/>
      <c r="N12" s="47"/>
      <c r="O12" s="364">
        <f>9.1*2+13.8*2+8.5+15.8*5+10.5</f>
        <v>143.80000000000001</v>
      </c>
      <c r="P12" s="47">
        <f>O12*'Carichi unitari'!$H$19</f>
        <v>501.72193506493517</v>
      </c>
    </row>
    <row r="13" spans="2:16" x14ac:dyDescent="0.3">
      <c r="B13" s="611" t="s">
        <v>336</v>
      </c>
      <c r="C13" s="611"/>
      <c r="D13" s="612"/>
      <c r="E13" s="363">
        <v>4.7</v>
      </c>
      <c r="F13" s="47">
        <f>E13*'Carichi unitari'!$H$20</f>
        <v>14.466844155844155</v>
      </c>
      <c r="G13" s="363">
        <v>4.7</v>
      </c>
      <c r="H13" s="47">
        <f>G13*'Carichi unitari'!$H$20</f>
        <v>14.466844155844155</v>
      </c>
      <c r="I13" s="363">
        <v>4.7</v>
      </c>
      <c r="J13" s="47">
        <f>I13*'Carichi unitari'!$H$20</f>
        <v>14.466844155844155</v>
      </c>
      <c r="K13" s="363">
        <v>4.7</v>
      </c>
      <c r="L13" s="47">
        <f>K13*'Carichi unitari'!$H$20</f>
        <v>14.466844155844155</v>
      </c>
      <c r="M13" s="363">
        <v>4.7</v>
      </c>
      <c r="N13" s="47">
        <f>M13*'Carichi unitari'!$H$20</f>
        <v>14.466844155844155</v>
      </c>
      <c r="O13" s="363">
        <v>4.7</v>
      </c>
      <c r="P13" s="47">
        <f>O13*'Carichi unitari'!$H$20</f>
        <v>14.466844155844155</v>
      </c>
    </row>
    <row r="14" spans="2:16" x14ac:dyDescent="0.3">
      <c r="B14" s="611" t="s">
        <v>337</v>
      </c>
      <c r="C14" s="611"/>
      <c r="D14" s="612"/>
      <c r="E14" s="363">
        <f>9.1*2+5</f>
        <v>23.2</v>
      </c>
      <c r="F14" s="47">
        <f>'Carichi unitari'!$H$21</f>
        <v>1.8468311688311685</v>
      </c>
      <c r="G14" s="363">
        <f>9.1*2+5</f>
        <v>23.2</v>
      </c>
      <c r="H14" s="47">
        <f>'Carichi unitari'!$H$21</f>
        <v>1.8468311688311685</v>
      </c>
      <c r="I14" s="363">
        <f>9.1*2+5</f>
        <v>23.2</v>
      </c>
      <c r="J14" s="47">
        <f>'Carichi unitari'!$H$21</f>
        <v>1.8468311688311685</v>
      </c>
      <c r="K14" s="363">
        <f>9.1*2+5</f>
        <v>23.2</v>
      </c>
      <c r="L14" s="47">
        <f>'Carichi unitari'!$H$21</f>
        <v>1.8468311688311685</v>
      </c>
      <c r="M14" s="363">
        <f>9.1*2+5</f>
        <v>23.2</v>
      </c>
      <c r="N14" s="47">
        <f>'Carichi unitari'!$H$21</f>
        <v>1.8468311688311685</v>
      </c>
      <c r="O14" s="363">
        <f>9.1*2+5</f>
        <v>23.2</v>
      </c>
      <c r="P14" s="47">
        <f>'Carichi unitari'!$H$21</f>
        <v>1.8468311688311685</v>
      </c>
    </row>
    <row r="15" spans="2:16" x14ac:dyDescent="0.3">
      <c r="B15" s="611" t="s">
        <v>238</v>
      </c>
      <c r="C15" s="611"/>
      <c r="D15" s="612"/>
      <c r="E15" s="363">
        <f>15.8*2+13.8*2+9.1*2+13.8+15.8+10*0.9</f>
        <v>116</v>
      </c>
      <c r="F15" s="47">
        <f>E15*'Carichi unitari'!$H$22</f>
        <v>693.47536875000014</v>
      </c>
      <c r="G15" s="363">
        <f>15.8*2+13.8*2+9.1*2+13.8+15.8+10*0.8</f>
        <v>115</v>
      </c>
      <c r="H15" s="47">
        <f>G15*'Carichi unitari'!$H$22</f>
        <v>687.49713281250013</v>
      </c>
      <c r="I15" s="363">
        <f>15.8*2+13.8*2+9.1*2+13.8+15.8+10*0.8</f>
        <v>115</v>
      </c>
      <c r="J15" s="47">
        <f>I15*'Carichi unitari'!$H$22</f>
        <v>687.49713281250013</v>
      </c>
      <c r="K15" s="363">
        <f>15.8*2+13.8*2+9.1*2+13.8+15.8+10*0.8</f>
        <v>115</v>
      </c>
      <c r="L15" s="47">
        <f>K15*'Carichi unitari'!$H$22</f>
        <v>687.49713281250013</v>
      </c>
      <c r="M15" s="363">
        <f>15.8*2+13.8*2+9.1*2+13.8+15.8+10*0.8</f>
        <v>115</v>
      </c>
      <c r="N15" s="47">
        <f>M15*'Carichi unitari'!$H$22</f>
        <v>687.49713281250013</v>
      </c>
      <c r="O15" s="363">
        <f>((15.8*2+13.8*2+9.1*2+13.8+15.8+10)/2+18)*0.8</f>
        <v>61.2</v>
      </c>
      <c r="P15" s="47">
        <f>O15*'Carichi unitari'!$H$22</f>
        <v>365.86803937500008</v>
      </c>
    </row>
    <row r="16" spans="2:16" ht="15.6" x14ac:dyDescent="0.3">
      <c r="B16" s="615" t="s">
        <v>341</v>
      </c>
      <c r="C16" s="615"/>
      <c r="D16" s="616"/>
      <c r="E16" s="363">
        <v>12</v>
      </c>
      <c r="F16" s="47">
        <f>'Carichi unitari'!$H$23*E16</f>
        <v>201.59999999999997</v>
      </c>
      <c r="G16" s="363"/>
      <c r="H16" s="47"/>
      <c r="I16" s="363"/>
      <c r="J16" s="47"/>
      <c r="K16" s="363"/>
      <c r="L16" s="47"/>
      <c r="M16" s="363"/>
      <c r="N16" s="47"/>
      <c r="O16" s="363"/>
      <c r="P16" s="47"/>
    </row>
    <row r="17" spans="2:35" ht="15.6" x14ac:dyDescent="0.3">
      <c r="B17" s="615" t="s">
        <v>140</v>
      </c>
      <c r="C17" s="615"/>
      <c r="D17" s="616"/>
      <c r="E17" s="363">
        <v>12</v>
      </c>
      <c r="F17" s="47">
        <f>'Carichi unitari'!$H$24*E17</f>
        <v>172.8</v>
      </c>
      <c r="G17" s="363">
        <v>12</v>
      </c>
      <c r="H17" s="47">
        <f>'Carichi unitari'!$H$24*G17</f>
        <v>172.8</v>
      </c>
      <c r="I17" s="363"/>
      <c r="J17" s="47"/>
      <c r="K17" s="363"/>
      <c r="L17" s="47"/>
      <c r="M17" s="363"/>
      <c r="N17" s="47"/>
      <c r="O17" s="363"/>
      <c r="P17" s="47"/>
      <c r="U17" s="618" t="s">
        <v>360</v>
      </c>
      <c r="V17" s="618"/>
      <c r="Y17">
        <v>3942.696127711039</v>
      </c>
      <c r="AA17">
        <v>4342.088966153704</v>
      </c>
      <c r="AC17">
        <v>4326.7889661537047</v>
      </c>
      <c r="AE17">
        <v>4201.838966153704</v>
      </c>
      <c r="AG17">
        <v>4184.7389661537045</v>
      </c>
      <c r="AI17">
        <v>3197.5494383360392</v>
      </c>
    </row>
    <row r="18" spans="2:35" ht="15.6" x14ac:dyDescent="0.3">
      <c r="B18" s="615" t="s">
        <v>339</v>
      </c>
      <c r="C18" s="615"/>
      <c r="D18" s="616"/>
      <c r="E18" s="363"/>
      <c r="F18" s="47"/>
      <c r="G18" s="363">
        <v>12</v>
      </c>
      <c r="H18" s="47">
        <f>G18*'Carichi unitari'!$H$25</f>
        <v>157.5</v>
      </c>
      <c r="I18" s="363">
        <v>24</v>
      </c>
      <c r="J18" s="47">
        <f>I18*'Carichi unitari'!$H$25</f>
        <v>315</v>
      </c>
      <c r="K18" s="363">
        <v>12</v>
      </c>
      <c r="L18" s="47">
        <f>K18*'Carichi unitari'!$H$25</f>
        <v>157.5</v>
      </c>
      <c r="M18" s="363"/>
      <c r="N18" s="47"/>
      <c r="O18" s="363"/>
      <c r="P18" s="47"/>
      <c r="U18" s="618" t="s">
        <v>361</v>
      </c>
      <c r="V18" s="618"/>
      <c r="Y18">
        <v>401.90582341600805</v>
      </c>
      <c r="AA18">
        <v>442.61865098406764</v>
      </c>
      <c r="AC18">
        <v>441.05901795654478</v>
      </c>
      <c r="AE18">
        <v>428.32201489844073</v>
      </c>
      <c r="AG18">
        <v>426.57889563238575</v>
      </c>
      <c r="AI18">
        <v>325.9479549781895</v>
      </c>
    </row>
    <row r="19" spans="2:35" ht="16.2" thickBot="1" x14ac:dyDescent="0.35">
      <c r="B19" s="615" t="s">
        <v>340</v>
      </c>
      <c r="C19" s="615"/>
      <c r="D19" s="616"/>
      <c r="E19" s="365"/>
      <c r="F19" s="394"/>
      <c r="G19" s="365"/>
      <c r="H19" s="366"/>
      <c r="I19" s="365"/>
      <c r="J19" s="366"/>
      <c r="K19" s="365">
        <v>12</v>
      </c>
      <c r="L19" s="366">
        <f>K19*'Carichi unitari'!$H$26</f>
        <v>140.4</v>
      </c>
      <c r="M19" s="365">
        <v>24</v>
      </c>
      <c r="N19" s="366">
        <f>M19*'Carichi unitari'!$H$26</f>
        <v>280.8</v>
      </c>
      <c r="O19" s="365">
        <f>12+4</f>
        <v>16</v>
      </c>
      <c r="P19" s="366">
        <f>O19*'Carichi unitari'!$H$26</f>
        <v>187.20000000000002</v>
      </c>
      <c r="U19" t="s">
        <v>362</v>
      </c>
      <c r="Y19">
        <v>344</v>
      </c>
      <c r="AA19">
        <v>415</v>
      </c>
      <c r="AC19">
        <v>415</v>
      </c>
      <c r="AE19">
        <v>415</v>
      </c>
      <c r="AG19">
        <v>415</v>
      </c>
      <c r="AI19">
        <v>380</v>
      </c>
    </row>
    <row r="20" spans="2:35" x14ac:dyDescent="0.3">
      <c r="B20" s="604" t="s">
        <v>360</v>
      </c>
      <c r="C20" s="604"/>
      <c r="D20" s="604"/>
      <c r="F20" s="393">
        <f>SUM(F4:F19)</f>
        <v>3942.696127711039</v>
      </c>
      <c r="G20" s="127"/>
      <c r="H20" s="396">
        <f>SUM(H4:H19)</f>
        <v>4342.088966153704</v>
      </c>
      <c r="I20" s="127"/>
      <c r="J20" s="396">
        <f>SUM(J4:J19)</f>
        <v>4326.7889661537047</v>
      </c>
      <c r="K20" s="127"/>
      <c r="L20" s="396">
        <f>SUM(L4:L19)</f>
        <v>4201.838966153704</v>
      </c>
      <c r="M20" s="127"/>
      <c r="N20" s="396">
        <f>SUM(N4:N19)</f>
        <v>4184.7389661537045</v>
      </c>
      <c r="O20" s="127"/>
      <c r="P20" s="396">
        <f>SUM(P4:P19)</f>
        <v>3197.5494383360392</v>
      </c>
      <c r="U20" t="s">
        <v>363</v>
      </c>
      <c r="Y20">
        <v>11.46132595264837</v>
      </c>
      <c r="AA20">
        <v>10.462864978683625</v>
      </c>
      <c r="AC20">
        <v>10.425997508804107</v>
      </c>
      <c r="AE20">
        <v>10.124913171454708</v>
      </c>
      <c r="AG20">
        <v>10.083708352177601</v>
      </c>
      <c r="AI20">
        <v>8.4146037850948403</v>
      </c>
    </row>
    <row r="21" spans="2:35" x14ac:dyDescent="0.3">
      <c r="B21" s="604" t="s">
        <v>361</v>
      </c>
      <c r="C21" s="604"/>
      <c r="D21" s="604"/>
      <c r="E21" s="229"/>
      <c r="F21" s="396">
        <f>F20/9.81</f>
        <v>401.90582341600805</v>
      </c>
      <c r="G21" s="395"/>
      <c r="H21" s="396">
        <f>H20/9.81</f>
        <v>442.61865098406764</v>
      </c>
      <c r="I21" s="395"/>
      <c r="J21" s="396">
        <f>J20/9.81</f>
        <v>441.05901795654478</v>
      </c>
      <c r="K21" s="395"/>
      <c r="L21" s="396">
        <f>L20/9.81</f>
        <v>428.32201489844073</v>
      </c>
      <c r="M21" s="395"/>
      <c r="N21" s="396">
        <f>N20/9.81</f>
        <v>426.57889563238575</v>
      </c>
      <c r="O21" s="395"/>
      <c r="P21" s="396">
        <f>P20/9.81</f>
        <v>325.9479549781895</v>
      </c>
    </row>
    <row r="22" spans="2:35" x14ac:dyDescent="0.3">
      <c r="B22" s="604" t="s">
        <v>362</v>
      </c>
      <c r="C22" s="604"/>
      <c r="D22" s="604"/>
      <c r="E22" s="229"/>
      <c r="F22" s="396">
        <f>E4+E9</f>
        <v>344</v>
      </c>
      <c r="G22" s="230"/>
      <c r="H22" s="396">
        <f>G4+G9+G7</f>
        <v>415</v>
      </c>
      <c r="I22" s="230"/>
      <c r="J22" s="396">
        <f>I4+I9+I7</f>
        <v>415</v>
      </c>
      <c r="K22" s="395"/>
      <c r="L22" s="396">
        <f>K4+K9+K7</f>
        <v>415</v>
      </c>
      <c r="M22" s="230"/>
      <c r="N22" s="396">
        <f>M4+M9+M7</f>
        <v>415</v>
      </c>
      <c r="O22" s="230"/>
      <c r="P22" s="398">
        <f>O5+O8+O9</f>
        <v>380</v>
      </c>
    </row>
    <row r="23" spans="2:35" ht="15" thickBot="1" x14ac:dyDescent="0.35">
      <c r="B23" s="604" t="s">
        <v>363</v>
      </c>
      <c r="C23" s="604"/>
      <c r="D23" s="604"/>
      <c r="E23" s="229"/>
      <c r="F23" s="397">
        <f>F20/F22</f>
        <v>11.46132595264837</v>
      </c>
      <c r="G23" s="228"/>
      <c r="H23" s="397">
        <f>H20/H22</f>
        <v>10.462864978683625</v>
      </c>
      <c r="I23" s="228"/>
      <c r="J23" s="397">
        <f>J20/J22</f>
        <v>10.425997508804107</v>
      </c>
      <c r="K23" s="228"/>
      <c r="L23" s="397">
        <f>L20/L22</f>
        <v>10.124913171454708</v>
      </c>
      <c r="M23" s="228"/>
      <c r="N23" s="397">
        <f>N20/N22</f>
        <v>10.083708352177601</v>
      </c>
      <c r="O23" s="228"/>
      <c r="P23" s="397">
        <f>P20/P22</f>
        <v>8.4146037850948403</v>
      </c>
    </row>
    <row r="26" spans="2:35" x14ac:dyDescent="0.3">
      <c r="I26" s="6"/>
    </row>
    <row r="27" spans="2:35" ht="15" customHeight="1" x14ac:dyDescent="0.3">
      <c r="E27" s="617" t="s">
        <v>81</v>
      </c>
      <c r="F27" s="553" t="s">
        <v>479</v>
      </c>
      <c r="G27" s="553" t="s">
        <v>480</v>
      </c>
      <c r="H27" s="617" t="s">
        <v>481</v>
      </c>
      <c r="I27" s="619" t="s">
        <v>225</v>
      </c>
      <c r="L27" s="489"/>
      <c r="M27" s="489"/>
    </row>
    <row r="28" spans="2:35" x14ac:dyDescent="0.3">
      <c r="E28" s="617"/>
      <c r="F28" s="553"/>
      <c r="G28" s="553"/>
      <c r="H28" s="617"/>
      <c r="I28" s="619"/>
      <c r="L28" s="620"/>
      <c r="M28" s="489"/>
    </row>
    <row r="29" spans="2:35" x14ac:dyDescent="0.3">
      <c r="E29" s="484" t="s">
        <v>64</v>
      </c>
      <c r="F29" s="9">
        <v>3197.5494383360392</v>
      </c>
      <c r="G29" s="358">
        <v>325.9479549781895</v>
      </c>
      <c r="H29" s="484">
        <v>380</v>
      </c>
      <c r="I29" s="9">
        <v>8.4146037850948403</v>
      </c>
      <c r="L29" s="620"/>
      <c r="M29" s="489"/>
    </row>
    <row r="30" spans="2:35" x14ac:dyDescent="0.3">
      <c r="E30" s="484">
        <v>5</v>
      </c>
      <c r="F30" s="9">
        <v>4184.7389661537045</v>
      </c>
      <c r="G30" s="358">
        <v>426.57889563238575</v>
      </c>
      <c r="H30" s="484">
        <v>415</v>
      </c>
      <c r="I30" s="9">
        <v>10.083708352177601</v>
      </c>
      <c r="L30" s="443"/>
      <c r="M30" s="489"/>
    </row>
    <row r="31" spans="2:35" x14ac:dyDescent="0.3">
      <c r="E31" s="484">
        <v>4</v>
      </c>
      <c r="F31" s="9">
        <v>4201.838966153704</v>
      </c>
      <c r="G31" s="358">
        <v>428.32201489844073</v>
      </c>
      <c r="H31" s="484">
        <v>415</v>
      </c>
      <c r="I31" s="9">
        <v>10.124913171454708</v>
      </c>
      <c r="L31" s="468"/>
      <c r="M31" s="489"/>
    </row>
    <row r="32" spans="2:35" x14ac:dyDescent="0.3">
      <c r="E32" s="484">
        <v>3</v>
      </c>
      <c r="F32" s="9">
        <v>4326.7889661537047</v>
      </c>
      <c r="G32" s="358">
        <v>441.05901795654478</v>
      </c>
      <c r="H32" s="484">
        <v>415</v>
      </c>
      <c r="I32" s="9">
        <v>10.425997508804107</v>
      </c>
      <c r="L32" s="468"/>
      <c r="M32" s="489"/>
    </row>
    <row r="33" spans="5:13" x14ac:dyDescent="0.3">
      <c r="E33" s="484">
        <v>2</v>
      </c>
      <c r="F33" s="9">
        <v>4342.088966153704</v>
      </c>
      <c r="G33" s="358">
        <v>442.61865098406764</v>
      </c>
      <c r="H33" s="484">
        <v>415</v>
      </c>
      <c r="I33" s="9">
        <v>10.462864978683625</v>
      </c>
      <c r="L33" s="468"/>
      <c r="M33" s="489"/>
    </row>
    <row r="34" spans="5:13" x14ac:dyDescent="0.3">
      <c r="E34" s="484">
        <v>1</v>
      </c>
      <c r="F34" s="9">
        <v>3942.696127711039</v>
      </c>
      <c r="G34" s="358">
        <v>401.90582341600805</v>
      </c>
      <c r="H34" s="484">
        <v>344</v>
      </c>
      <c r="I34" s="9">
        <v>11.46132595264837</v>
      </c>
      <c r="L34" s="468"/>
      <c r="M34" s="489"/>
    </row>
    <row r="35" spans="5:13" x14ac:dyDescent="0.3">
      <c r="H35" s="482"/>
      <c r="L35" s="468"/>
      <c r="M35" s="489"/>
    </row>
    <row r="36" spans="5:13" x14ac:dyDescent="0.3">
      <c r="L36" s="489"/>
      <c r="M36" s="489"/>
    </row>
    <row r="37" spans="5:13" x14ac:dyDescent="0.3">
      <c r="L37" s="489"/>
      <c r="M37" s="489"/>
    </row>
  </sheetData>
  <mergeCells count="34">
    <mergeCell ref="E27:E28"/>
    <mergeCell ref="F27:F28"/>
    <mergeCell ref="U17:V17"/>
    <mergeCell ref="U18:V18"/>
    <mergeCell ref="G27:G28"/>
    <mergeCell ref="H27:H28"/>
    <mergeCell ref="I27:I28"/>
    <mergeCell ref="L28:L29"/>
    <mergeCell ref="B20:D20"/>
    <mergeCell ref="B21:D21"/>
    <mergeCell ref="B22:D22"/>
    <mergeCell ref="B23:D23"/>
    <mergeCell ref="B9:D9"/>
    <mergeCell ref="B19:D19"/>
    <mergeCell ref="B14:D14"/>
    <mergeCell ref="B18:D18"/>
    <mergeCell ref="B16:D16"/>
    <mergeCell ref="B17:D17"/>
    <mergeCell ref="M2:N2"/>
    <mergeCell ref="O2:P2"/>
    <mergeCell ref="B15:D15"/>
    <mergeCell ref="E2:F2"/>
    <mergeCell ref="G2:H2"/>
    <mergeCell ref="I2:J2"/>
    <mergeCell ref="K2:L2"/>
    <mergeCell ref="B6:D6"/>
    <mergeCell ref="B4:D4"/>
    <mergeCell ref="B5:D5"/>
    <mergeCell ref="B7:D7"/>
    <mergeCell ref="B8:D8"/>
    <mergeCell ref="B10:D10"/>
    <mergeCell ref="B11:D11"/>
    <mergeCell ref="B12:D12"/>
    <mergeCell ref="B13:D13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9"/>
  <sheetViews>
    <sheetView zoomScale="110" zoomScaleNormal="110" workbookViewId="0">
      <selection activeCell="T10" sqref="T10:T11"/>
    </sheetView>
  </sheetViews>
  <sheetFormatPr defaultRowHeight="14.4" x14ac:dyDescent="0.3"/>
  <cols>
    <col min="1" max="1" width="3.44140625" customWidth="1"/>
    <col min="2" max="2" width="12.5546875" customWidth="1"/>
    <col min="4" max="4" width="12.109375" customWidth="1"/>
    <col min="5" max="5" width="10.5546875" customWidth="1"/>
    <col min="6" max="6" width="3" customWidth="1"/>
    <col min="7" max="7" width="12.21875" customWidth="1"/>
    <col min="9" max="9" width="11" customWidth="1"/>
    <col min="10" max="10" width="10.77734375" customWidth="1"/>
    <col min="11" max="11" width="2.21875" customWidth="1"/>
    <col min="12" max="12" width="11.6640625" customWidth="1"/>
    <col min="13" max="13" width="9.88671875" customWidth="1"/>
    <col min="14" max="14" width="10.6640625" customWidth="1"/>
    <col min="15" max="15" width="11.21875" customWidth="1"/>
    <col min="16" max="16" width="3.21875" customWidth="1"/>
    <col min="17" max="17" width="12.33203125" customWidth="1"/>
    <col min="19" max="19" width="10.77734375" customWidth="1"/>
    <col min="20" max="20" width="10.5546875" customWidth="1"/>
  </cols>
  <sheetData>
    <row r="1" spans="2:20" ht="16.2" thickBot="1" x14ac:dyDescent="0.35">
      <c r="B1" s="1"/>
    </row>
    <row r="2" spans="2:20" ht="15" thickBot="1" x14ac:dyDescent="0.35">
      <c r="B2" s="631" t="s">
        <v>33</v>
      </c>
      <c r="C2" s="632"/>
      <c r="D2" s="632"/>
      <c r="E2" s="633"/>
      <c r="G2" s="631" t="s">
        <v>41</v>
      </c>
      <c r="H2" s="632"/>
      <c r="I2" s="632"/>
      <c r="J2" s="633"/>
      <c r="L2" s="631" t="s">
        <v>50</v>
      </c>
      <c r="M2" s="632"/>
      <c r="N2" s="632"/>
      <c r="O2" s="633"/>
      <c r="Q2" s="631" t="s">
        <v>218</v>
      </c>
      <c r="R2" s="632"/>
      <c r="S2" s="632"/>
      <c r="T2" s="633"/>
    </row>
    <row r="3" spans="2:20" ht="14.4" customHeight="1" x14ac:dyDescent="0.3">
      <c r="B3" s="22"/>
      <c r="C3" s="641" t="s">
        <v>51</v>
      </c>
      <c r="D3" s="642" t="s">
        <v>46</v>
      </c>
      <c r="E3" s="643" t="s">
        <v>47</v>
      </c>
      <c r="G3" s="31"/>
      <c r="H3" s="634" t="s">
        <v>51</v>
      </c>
      <c r="I3" s="636" t="s">
        <v>46</v>
      </c>
      <c r="J3" s="638" t="s">
        <v>47</v>
      </c>
      <c r="L3" s="22"/>
      <c r="M3" s="641" t="s">
        <v>51</v>
      </c>
      <c r="N3" s="642" t="s">
        <v>46</v>
      </c>
      <c r="O3" s="643" t="s">
        <v>47</v>
      </c>
      <c r="Q3" s="31"/>
      <c r="R3" s="634" t="s">
        <v>51</v>
      </c>
      <c r="S3" s="636" t="s">
        <v>46</v>
      </c>
      <c r="T3" s="638" t="s">
        <v>47</v>
      </c>
    </row>
    <row r="4" spans="2:20" ht="15" thickBot="1" x14ac:dyDescent="0.35">
      <c r="B4" s="22"/>
      <c r="C4" s="635"/>
      <c r="D4" s="637"/>
      <c r="E4" s="639"/>
      <c r="G4" s="22"/>
      <c r="H4" s="635"/>
      <c r="I4" s="637"/>
      <c r="J4" s="639"/>
      <c r="L4" s="22"/>
      <c r="M4" s="635"/>
      <c r="N4" s="637"/>
      <c r="O4" s="639"/>
      <c r="Q4" s="22"/>
      <c r="R4" s="635"/>
      <c r="S4" s="637"/>
      <c r="T4" s="639"/>
    </row>
    <row r="5" spans="2:20" x14ac:dyDescent="0.3">
      <c r="B5" s="26" t="s">
        <v>42</v>
      </c>
      <c r="C5" s="23">
        <v>26</v>
      </c>
      <c r="D5" s="24">
        <f>C5*('Carichi unitari'!$G$10+'Carichi unitari'!G13)</f>
        <v>326.36267215584417</v>
      </c>
      <c r="E5" s="25">
        <f>C5*('Carichi unitari'!$H$10+'Carichi unitari'!H13)</f>
        <v>206.64820935064938</v>
      </c>
      <c r="G5" s="26" t="s">
        <v>42</v>
      </c>
      <c r="H5" s="23">
        <f>16</f>
        <v>16</v>
      </c>
      <c r="I5" s="72">
        <f>H5*('Carichi unitari'!$G$10)</f>
        <v>137.48051948051949</v>
      </c>
      <c r="J5" s="73">
        <f>H5*('Carichi unitari'!$H$10)</f>
        <v>78.431168831168833</v>
      </c>
      <c r="L5" s="26" t="s">
        <v>42</v>
      </c>
      <c r="M5" s="23">
        <v>21</v>
      </c>
      <c r="N5" s="72">
        <f>M5*('Carichi unitari'!$G$10)</f>
        <v>180.44318181818184</v>
      </c>
      <c r="O5" s="73">
        <f>M5*('Carichi unitari'!$H$10)</f>
        <v>102.94090909090909</v>
      </c>
      <c r="Q5" s="26" t="s">
        <v>42</v>
      </c>
      <c r="R5" s="273">
        <v>5.5</v>
      </c>
      <c r="S5" s="72">
        <f>R5*('Carichi unitari'!$G$10)</f>
        <v>47.258928571428577</v>
      </c>
      <c r="T5" s="73">
        <f>R5*('Carichi unitari'!$H$10)</f>
        <v>26.960714285714285</v>
      </c>
    </row>
    <row r="6" spans="2:20" x14ac:dyDescent="0.3">
      <c r="B6" s="27" t="s">
        <v>55</v>
      </c>
      <c r="C6" s="23">
        <v>8.5</v>
      </c>
      <c r="D6" s="29">
        <f>C6*'Carichi unitari'!G17</f>
        <v>55.128737012987017</v>
      </c>
      <c r="E6" s="30">
        <f>C6*'Carichi unitari'!H17</f>
        <v>42.406720779220784</v>
      </c>
      <c r="G6" s="27" t="s">
        <v>45</v>
      </c>
      <c r="H6" s="23">
        <f>4</f>
        <v>4</v>
      </c>
      <c r="I6" s="72">
        <f>H6*'Carichi unitari'!G14</f>
        <v>44.439008264462814</v>
      </c>
      <c r="J6" s="73">
        <f>H6*'Carichi unitari'!H14</f>
        <v>25.32231404958678</v>
      </c>
      <c r="L6" s="27" t="s">
        <v>43</v>
      </c>
      <c r="M6" s="23">
        <v>7</v>
      </c>
      <c r="N6" s="72">
        <f>M6*'Carichi unitari'!G16</f>
        <v>106.13862000000002</v>
      </c>
      <c r="O6" s="73">
        <f>M6*'Carichi unitari'!H16</f>
        <v>66.137400000000014</v>
      </c>
      <c r="Q6" s="27" t="s">
        <v>45</v>
      </c>
      <c r="R6" s="23"/>
      <c r="S6" s="72">
        <f>R6*'Carichi unitari'!G14</f>
        <v>0</v>
      </c>
      <c r="T6" s="73">
        <f>R6*'Carichi unitari'!H14</f>
        <v>0</v>
      </c>
    </row>
    <row r="7" spans="2:20" x14ac:dyDescent="0.3">
      <c r="B7" s="27" t="s">
        <v>228</v>
      </c>
      <c r="C7" s="23">
        <v>2</v>
      </c>
      <c r="D7" s="29">
        <f>C7*'Carichi unitari'!$G$21</f>
        <v>4.8017610389610379</v>
      </c>
      <c r="E7" s="30">
        <f>C7*'Carichi unitari'!$H$21</f>
        <v>3.693662337662337</v>
      </c>
      <c r="G7" s="27" t="s">
        <v>44</v>
      </c>
      <c r="H7" s="23">
        <v>5</v>
      </c>
      <c r="I7" s="72">
        <f>H7*'Carichi unitari'!G22</f>
        <v>38.85853359375001</v>
      </c>
      <c r="J7" s="73">
        <f>H7*'Carichi unitari'!H22</f>
        <v>29.891179687500006</v>
      </c>
      <c r="L7" s="27" t="s">
        <v>44</v>
      </c>
      <c r="M7" s="23">
        <v>7</v>
      </c>
      <c r="N7" s="72">
        <f>M7*'Carichi unitari'!G22</f>
        <v>54.40194703125001</v>
      </c>
      <c r="O7" s="73">
        <f>M7*'Carichi unitari'!H22</f>
        <v>41.847651562500005</v>
      </c>
      <c r="Q7" s="27" t="s">
        <v>44</v>
      </c>
      <c r="R7" s="23">
        <v>4</v>
      </c>
      <c r="S7" s="72">
        <f>R7*'Carichi unitari'!G22</f>
        <v>31.086826875000007</v>
      </c>
      <c r="T7" s="73">
        <f>R7*'Carichi unitari'!G22</f>
        <v>31.086826875000007</v>
      </c>
    </row>
    <row r="8" spans="2:20" x14ac:dyDescent="0.3">
      <c r="B8" s="27" t="s">
        <v>57</v>
      </c>
      <c r="C8" s="23">
        <f>'Carichi unitari'!$M$4</f>
        <v>3.2</v>
      </c>
      <c r="D8" s="29">
        <f>C8*'Carichi unitari'!G23</f>
        <v>69.887999999999991</v>
      </c>
      <c r="E8" s="30">
        <f>C8*'Carichi unitari'!H23</f>
        <v>53.759999999999991</v>
      </c>
      <c r="G8" s="74" t="s">
        <v>55</v>
      </c>
      <c r="H8" s="23">
        <v>5</v>
      </c>
      <c r="I8" s="72">
        <f>H8*'Carichi unitari'!G17</f>
        <v>32.428668831168835</v>
      </c>
      <c r="J8" s="73">
        <f>H8*'Carichi unitari'!H17</f>
        <v>24.945129870129872</v>
      </c>
      <c r="L8" s="27" t="s">
        <v>227</v>
      </c>
      <c r="M8" s="23">
        <v>10</v>
      </c>
      <c r="N8" s="72">
        <f>M8*'Carichi unitari'!$G$17</f>
        <v>64.85733766233767</v>
      </c>
      <c r="O8" s="73">
        <f>M8*'Carichi unitari'!$H$17</f>
        <v>49.890259740259744</v>
      </c>
      <c r="Q8" s="27" t="s">
        <v>226</v>
      </c>
      <c r="R8" s="23">
        <v>5</v>
      </c>
      <c r="S8" s="72">
        <f>R8*'Carichi unitari'!G17</f>
        <v>32.428668831168835</v>
      </c>
      <c r="T8" s="73">
        <f>R8*'Carichi unitari'!H17</f>
        <v>24.945129870129872</v>
      </c>
    </row>
    <row r="9" spans="2:20" ht="17.399999999999999" customHeight="1" x14ac:dyDescent="0.3">
      <c r="B9" s="621" t="s">
        <v>34</v>
      </c>
      <c r="C9" s="644"/>
      <c r="D9" s="623">
        <f>D5+D7+D6+D8</f>
        <v>456.18117020779221</v>
      </c>
      <c r="E9" s="624">
        <f>E5+E7+E6+E8</f>
        <v>306.50859246753248</v>
      </c>
      <c r="G9" s="27" t="s">
        <v>57</v>
      </c>
      <c r="H9" s="23">
        <f>'Carichi unitari'!$M$4</f>
        <v>3.2</v>
      </c>
      <c r="I9" s="72">
        <f>H9*'Carichi unitari'!$G$23</f>
        <v>69.887999999999991</v>
      </c>
      <c r="J9" s="73">
        <f>H9*'Carichi unitari'!$H$23</f>
        <v>53.759999999999991</v>
      </c>
      <c r="L9" s="27" t="s">
        <v>57</v>
      </c>
      <c r="M9" s="23"/>
      <c r="N9" s="423">
        <f>'Carichi unitari'!$G$23</f>
        <v>21.839999999999996</v>
      </c>
      <c r="O9" s="73">
        <f>'Carichi unitari'!$H$23</f>
        <v>16.799999999999997</v>
      </c>
      <c r="Q9" s="27" t="s">
        <v>57</v>
      </c>
      <c r="R9" s="23">
        <f>'Carichi unitari'!$M$4</f>
        <v>3.2</v>
      </c>
      <c r="S9" s="72">
        <f>R9*'Carichi unitari'!$G$23</f>
        <v>69.887999999999991</v>
      </c>
      <c r="T9" s="73">
        <f>R9*'Carichi unitari'!$H$23</f>
        <v>53.759999999999991</v>
      </c>
    </row>
    <row r="10" spans="2:20" ht="15" customHeight="1" x14ac:dyDescent="0.3">
      <c r="B10" s="621"/>
      <c r="C10" s="644"/>
      <c r="D10" s="623"/>
      <c r="E10" s="624"/>
      <c r="G10" s="621" t="s">
        <v>34</v>
      </c>
      <c r="H10" s="622"/>
      <c r="I10" s="623">
        <f>I5+I6+I7+I8+I9</f>
        <v>323.09473016990114</v>
      </c>
      <c r="J10" s="624">
        <f>J5+J6+J7+J8+J9</f>
        <v>212.34979243838549</v>
      </c>
      <c r="L10" s="625" t="s">
        <v>34</v>
      </c>
      <c r="M10" s="627"/>
      <c r="N10" s="623">
        <f>N5+N6+N7+N8+N9</f>
        <v>427.68108651176954</v>
      </c>
      <c r="O10" s="624">
        <f>O5+O6+O7+O8+O9</f>
        <v>277.61622039366887</v>
      </c>
      <c r="Q10" s="625" t="s">
        <v>34</v>
      </c>
      <c r="R10" s="627"/>
      <c r="S10" s="623">
        <f>S5+S6+S7+S8+S9</f>
        <v>180.66242427759741</v>
      </c>
      <c r="T10" s="624">
        <f>T5+T6+T7+T8+T9</f>
        <v>136.75267103084417</v>
      </c>
    </row>
    <row r="11" spans="2:20" ht="15.6" customHeight="1" x14ac:dyDescent="0.3">
      <c r="B11" s="625" t="s">
        <v>48</v>
      </c>
      <c r="C11" s="622"/>
      <c r="D11" s="623">
        <f>D9*'Carichi unitari'!$M$6</f>
        <v>2737.0870212467535</v>
      </c>
      <c r="E11" s="624">
        <f>E9*'Carichi unitari'!$M$6</f>
        <v>1839.0515548051949</v>
      </c>
      <c r="G11" s="621"/>
      <c r="H11" s="622"/>
      <c r="I11" s="623"/>
      <c r="J11" s="624"/>
      <c r="L11" s="625"/>
      <c r="M11" s="627"/>
      <c r="N11" s="623"/>
      <c r="O11" s="624"/>
      <c r="Q11" s="625"/>
      <c r="R11" s="627"/>
      <c r="S11" s="623"/>
      <c r="T11" s="624"/>
    </row>
    <row r="12" spans="2:20" ht="14.4" customHeight="1" thickBot="1" x14ac:dyDescent="0.35">
      <c r="B12" s="626"/>
      <c r="C12" s="640"/>
      <c r="D12" s="629"/>
      <c r="E12" s="630"/>
      <c r="G12" s="625" t="s">
        <v>48</v>
      </c>
      <c r="H12" s="627"/>
      <c r="I12" s="623">
        <f>(I10)*'Carichi unitari'!$M$6</f>
        <v>1938.5683810194068</v>
      </c>
      <c r="J12" s="624">
        <f>(J10)*'Carichi unitari'!$M$6</f>
        <v>1274.0987546303129</v>
      </c>
      <c r="L12" s="625" t="s">
        <v>48</v>
      </c>
      <c r="M12" s="627"/>
      <c r="N12" s="623">
        <f>(N10)*'Carichi unitari'!$M$6</f>
        <v>2566.0865190706172</v>
      </c>
      <c r="O12" s="624">
        <f>(O10)*'Carichi unitari'!$M$6</f>
        <v>1665.6973223620132</v>
      </c>
      <c r="Q12" s="625" t="s">
        <v>48</v>
      </c>
      <c r="R12" s="627"/>
      <c r="S12" s="623">
        <f>S10*'Carichi unitari'!$M$6</f>
        <v>1083.9745456655844</v>
      </c>
      <c r="T12" s="624">
        <f>(T10)*'Carichi unitari'!$M$6</f>
        <v>820.51602618506502</v>
      </c>
    </row>
    <row r="13" spans="2:20" ht="15" thickBot="1" x14ac:dyDescent="0.35">
      <c r="G13" s="626"/>
      <c r="H13" s="628"/>
      <c r="I13" s="629"/>
      <c r="J13" s="630"/>
      <c r="L13" s="626"/>
      <c r="M13" s="628"/>
      <c r="N13" s="629"/>
      <c r="O13" s="630"/>
      <c r="Q13" s="626"/>
      <c r="R13" s="628"/>
      <c r="S13" s="629"/>
      <c r="T13" s="630"/>
    </row>
    <row r="14" spans="2:20" x14ac:dyDescent="0.3">
      <c r="G14" s="126"/>
      <c r="H14" s="75"/>
      <c r="I14" s="72"/>
      <c r="J14" s="72"/>
      <c r="L14" s="126"/>
      <c r="M14" s="75"/>
      <c r="N14" s="72"/>
      <c r="O14" s="72"/>
      <c r="P14" s="127"/>
      <c r="Q14" s="126"/>
      <c r="R14" s="75"/>
      <c r="S14" s="72"/>
      <c r="T14" s="72"/>
    </row>
    <row r="15" spans="2:20" ht="14.4" customHeight="1" x14ac:dyDescent="0.35">
      <c r="B15" s="28" t="s">
        <v>52</v>
      </c>
      <c r="C15" s="20">
        <f>'Carichi unitari'!$P$3</f>
        <v>25</v>
      </c>
      <c r="G15" s="28" t="s">
        <v>52</v>
      </c>
      <c r="H15" s="20">
        <f>'Carichi unitari'!$P$3</f>
        <v>25</v>
      </c>
      <c r="L15" s="28" t="s">
        <v>52</v>
      </c>
      <c r="M15" s="20">
        <f>'Carichi unitari'!$P$3</f>
        <v>25</v>
      </c>
      <c r="Q15" s="28" t="s">
        <v>52</v>
      </c>
      <c r="R15" s="20">
        <f>'Carichi unitari'!$P$3</f>
        <v>25</v>
      </c>
    </row>
    <row r="16" spans="2:20" ht="15.6" x14ac:dyDescent="0.35">
      <c r="B16" s="28" t="s">
        <v>53</v>
      </c>
      <c r="C16" s="21">
        <f>0.85*C15/1.5</f>
        <v>14.166666666666666</v>
      </c>
      <c r="G16" s="28" t="s">
        <v>53</v>
      </c>
      <c r="H16" s="21">
        <f>0.85*H15/1.5</f>
        <v>14.166666666666666</v>
      </c>
      <c r="L16" s="28" t="s">
        <v>53</v>
      </c>
      <c r="M16" s="21">
        <f>0.85*M15/1.5</f>
        <v>14.166666666666666</v>
      </c>
      <c r="Q16" s="28" t="s">
        <v>53</v>
      </c>
      <c r="R16" s="21">
        <f>0.85*R15/1.5</f>
        <v>14.166666666666666</v>
      </c>
    </row>
    <row r="17" spans="2:18" ht="16.8" x14ac:dyDescent="0.45">
      <c r="B17" s="32" t="s">
        <v>54</v>
      </c>
      <c r="C17" s="21">
        <f>0.4*C16/10</f>
        <v>0.56666666666666665</v>
      </c>
      <c r="D17" s="20"/>
      <c r="E17" s="20"/>
      <c r="G17" s="32" t="s">
        <v>54</v>
      </c>
      <c r="H17" s="21">
        <f>0.4*H16/10</f>
        <v>0.56666666666666665</v>
      </c>
      <c r="L17" s="32" t="s">
        <v>54</v>
      </c>
      <c r="M17" s="21">
        <f>0.4*M16/10</f>
        <v>0.56666666666666665</v>
      </c>
      <c r="Q17" s="32" t="s">
        <v>54</v>
      </c>
      <c r="R17" s="21">
        <f>0.35*R16/10</f>
        <v>0.49583333333333329</v>
      </c>
    </row>
    <row r="18" spans="2:18" x14ac:dyDescent="0.3">
      <c r="B18" s="28" t="s">
        <v>49</v>
      </c>
      <c r="C18" s="21">
        <f>E11/C17</f>
        <v>3245.3850967150497</v>
      </c>
      <c r="G18" s="28" t="s">
        <v>49</v>
      </c>
      <c r="H18" s="21">
        <f>J12/H17</f>
        <v>2248.4095669946701</v>
      </c>
      <c r="L18" s="28" t="s">
        <v>49</v>
      </c>
      <c r="M18">
        <f>O12/M17</f>
        <v>2939.4658629917881</v>
      </c>
      <c r="Q18" s="28" t="s">
        <v>49</v>
      </c>
      <c r="R18">
        <f>T12/R17</f>
        <v>1654.822237684165</v>
      </c>
    </row>
    <row r="19" spans="2:18" x14ac:dyDescent="0.3">
      <c r="B19" s="28" t="s">
        <v>38</v>
      </c>
      <c r="C19" s="21">
        <f>C18/30</f>
        <v>108.17950322383498</v>
      </c>
      <c r="G19" s="28" t="s">
        <v>38</v>
      </c>
      <c r="H19" s="21">
        <f>H18/30</f>
        <v>74.946985566489005</v>
      </c>
      <c r="L19" s="28" t="s">
        <v>38</v>
      </c>
      <c r="M19">
        <f>M18/30</f>
        <v>97.982195433059601</v>
      </c>
      <c r="Q19" s="28" t="s">
        <v>38</v>
      </c>
      <c r="R19">
        <f>R18/30</f>
        <v>55.160741256138834</v>
      </c>
    </row>
  </sheetData>
  <mergeCells count="48">
    <mergeCell ref="L2:O2"/>
    <mergeCell ref="M3:M4"/>
    <mergeCell ref="N3:N4"/>
    <mergeCell ref="O3:O4"/>
    <mergeCell ref="L10:L11"/>
    <mergeCell ref="M10:M11"/>
    <mergeCell ref="N10:N11"/>
    <mergeCell ref="O10:O11"/>
    <mergeCell ref="G2:J2"/>
    <mergeCell ref="H3:H4"/>
    <mergeCell ref="I3:I4"/>
    <mergeCell ref="J3:J4"/>
    <mergeCell ref="B11:B12"/>
    <mergeCell ref="C11:C12"/>
    <mergeCell ref="D11:D12"/>
    <mergeCell ref="E11:E12"/>
    <mergeCell ref="B2:E2"/>
    <mergeCell ref="C3:C4"/>
    <mergeCell ref="D3:D4"/>
    <mergeCell ref="E3:E4"/>
    <mergeCell ref="B9:B10"/>
    <mergeCell ref="C9:C10"/>
    <mergeCell ref="D9:D10"/>
    <mergeCell ref="E9:E10"/>
    <mergeCell ref="R12:R13"/>
    <mergeCell ref="S12:S13"/>
    <mergeCell ref="T12:T13"/>
    <mergeCell ref="Q2:T2"/>
    <mergeCell ref="R3:R4"/>
    <mergeCell ref="S3:S4"/>
    <mergeCell ref="T3:T4"/>
    <mergeCell ref="Q10:Q11"/>
    <mergeCell ref="R10:R11"/>
    <mergeCell ref="S10:S11"/>
    <mergeCell ref="T10:T11"/>
    <mergeCell ref="G10:G11"/>
    <mergeCell ref="H10:H11"/>
    <mergeCell ref="I10:I11"/>
    <mergeCell ref="J10:J11"/>
    <mergeCell ref="Q12:Q13"/>
    <mergeCell ref="G12:G13"/>
    <mergeCell ref="H12:H13"/>
    <mergeCell ref="I12:I13"/>
    <mergeCell ref="J12:J13"/>
    <mergeCell ref="L12:L13"/>
    <mergeCell ref="M12:M13"/>
    <mergeCell ref="N12:N13"/>
    <mergeCell ref="O12:O13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1"/>
  <sheetViews>
    <sheetView zoomScale="110" zoomScaleNormal="110" workbookViewId="0">
      <selection activeCell="M16" sqref="M16"/>
    </sheetView>
  </sheetViews>
  <sheetFormatPr defaultRowHeight="14.4" x14ac:dyDescent="0.3"/>
  <cols>
    <col min="1" max="1" width="9.33203125" customWidth="1"/>
    <col min="2" max="2" width="10.109375" customWidth="1"/>
    <col min="3" max="3" width="9.44140625" customWidth="1"/>
    <col min="4" max="4" width="9.6640625" customWidth="1"/>
    <col min="5" max="5" width="10.6640625" customWidth="1"/>
    <col min="6" max="6" width="9.5546875" customWidth="1"/>
    <col min="7" max="7" width="9.44140625" customWidth="1"/>
    <col min="9" max="9" width="8.77734375" customWidth="1"/>
    <col min="10" max="10" width="9.5546875" bestFit="1" customWidth="1"/>
    <col min="15" max="15" width="9.5546875" bestFit="1" customWidth="1"/>
  </cols>
  <sheetData>
    <row r="1" spans="1:15" ht="15" thickBot="1" x14ac:dyDescent="0.35"/>
    <row r="2" spans="1:15" ht="15" customHeight="1" thickBot="1" x14ac:dyDescent="0.35">
      <c r="B2" s="653" t="s">
        <v>60</v>
      </c>
      <c r="C2" s="655" t="s">
        <v>69</v>
      </c>
      <c r="D2" s="655" t="s">
        <v>61</v>
      </c>
      <c r="E2" s="655" t="s">
        <v>62</v>
      </c>
      <c r="F2" s="659" t="s">
        <v>63</v>
      </c>
      <c r="H2" s="661" t="s">
        <v>73</v>
      </c>
      <c r="I2" s="662"/>
      <c r="J2" s="647" t="s">
        <v>85</v>
      </c>
    </row>
    <row r="3" spans="1:15" ht="19.2" customHeight="1" thickBot="1" x14ac:dyDescent="0.35">
      <c r="B3" s="654"/>
      <c r="C3" s="656"/>
      <c r="D3" s="656"/>
      <c r="E3" s="656"/>
      <c r="F3" s="660"/>
      <c r="H3" s="40" t="s">
        <v>72</v>
      </c>
      <c r="I3" s="51" t="s">
        <v>71</v>
      </c>
      <c r="J3" s="648"/>
      <c r="K3" s="52" t="s">
        <v>75</v>
      </c>
      <c r="L3" s="43" t="s">
        <v>74</v>
      </c>
    </row>
    <row r="4" spans="1:15" ht="15" thickBot="1" x14ac:dyDescent="0.35">
      <c r="B4" s="34">
        <v>344</v>
      </c>
      <c r="C4" s="276">
        <v>344</v>
      </c>
      <c r="D4" s="34">
        <v>415</v>
      </c>
      <c r="E4" s="50">
        <v>380</v>
      </c>
      <c r="F4" s="34">
        <v>25</v>
      </c>
      <c r="H4" s="38">
        <f>19.6</f>
        <v>19.600000000000001</v>
      </c>
      <c r="I4" s="53">
        <v>0.70599999999999996</v>
      </c>
      <c r="J4" s="55" t="s">
        <v>165</v>
      </c>
      <c r="K4" s="54">
        <v>0.13400000000000001</v>
      </c>
      <c r="L4" s="42">
        <f>0.85*F15*K4</f>
        <v>2755.8903929523899</v>
      </c>
    </row>
    <row r="5" spans="1:15" x14ac:dyDescent="0.3">
      <c r="A5" s="645"/>
      <c r="F5" s="280"/>
      <c r="M5">
        <v>6</v>
      </c>
      <c r="N5" t="s">
        <v>477</v>
      </c>
      <c r="O5" s="477">
        <f>J9/(J9+J10)</f>
        <v>0.32309525917964593</v>
      </c>
    </row>
    <row r="6" spans="1:15" ht="15" thickBot="1" x14ac:dyDescent="0.35">
      <c r="A6" s="645"/>
      <c r="F6" s="39"/>
      <c r="G6" s="33"/>
      <c r="N6" t="s">
        <v>476</v>
      </c>
      <c r="O6" s="477">
        <f>J10/(J10+J9)</f>
        <v>0.67690474082035412</v>
      </c>
    </row>
    <row r="7" spans="1:15" ht="14.4" customHeight="1" x14ac:dyDescent="0.3">
      <c r="B7" s="657" t="s">
        <v>81</v>
      </c>
      <c r="C7" s="649" t="s">
        <v>70</v>
      </c>
      <c r="D7" s="649" t="s">
        <v>66</v>
      </c>
      <c r="E7" s="649" t="s">
        <v>225</v>
      </c>
      <c r="F7" s="649" t="s">
        <v>67</v>
      </c>
      <c r="G7" s="649" t="s">
        <v>68</v>
      </c>
      <c r="H7" s="649" t="s">
        <v>76</v>
      </c>
      <c r="I7" s="649" t="s">
        <v>77</v>
      </c>
      <c r="J7" s="651" t="s">
        <v>78</v>
      </c>
      <c r="M7">
        <v>5</v>
      </c>
      <c r="N7" t="s">
        <v>475</v>
      </c>
      <c r="O7" s="477">
        <f>J9/(J9+J10)</f>
        <v>0.32309525917964593</v>
      </c>
    </row>
    <row r="8" spans="1:15" ht="20.399999999999999" customHeight="1" x14ac:dyDescent="0.3">
      <c r="B8" s="658"/>
      <c r="C8" s="650"/>
      <c r="D8" s="650"/>
      <c r="E8" s="650"/>
      <c r="F8" s="650"/>
      <c r="G8" s="650"/>
      <c r="H8" s="650"/>
      <c r="I8" s="650"/>
      <c r="J8" s="652"/>
      <c r="N8" t="s">
        <v>476</v>
      </c>
      <c r="O8" s="477">
        <f>J10/(J10+J9)</f>
        <v>0.67690474082035412</v>
      </c>
    </row>
    <row r="9" spans="1:15" x14ac:dyDescent="0.3">
      <c r="B9" s="37" t="s">
        <v>64</v>
      </c>
      <c r="C9" s="480">
        <f>C10+'Carichi unitari'!$M$4</f>
        <v>19.599999999999998</v>
      </c>
      <c r="D9" s="480">
        <f>E4</f>
        <v>380</v>
      </c>
      <c r="E9" s="329">
        <f>'Masse di piano'!P23</f>
        <v>8.4146037850948403</v>
      </c>
      <c r="F9" s="8">
        <f t="shared" ref="F9:F14" si="0">D9*E9</f>
        <v>3197.5494383360392</v>
      </c>
      <c r="G9" s="8">
        <f t="shared" ref="G9:G14" si="1">F9/9.81</f>
        <v>325.9479549781895</v>
      </c>
      <c r="H9" s="46">
        <f t="shared" ref="H9:H14" si="2">F9*C9</f>
        <v>62671.968991386362</v>
      </c>
      <c r="I9" s="8">
        <f t="shared" ref="I9:I14" si="3">H9*$L$4/$H$15</f>
        <v>630.92128965500399</v>
      </c>
      <c r="J9" s="47">
        <f>$I$9</f>
        <v>630.92128965500399</v>
      </c>
      <c r="M9">
        <v>4</v>
      </c>
      <c r="N9" t="s">
        <v>477</v>
      </c>
      <c r="O9" s="477">
        <f>J10/(J11+J10)</f>
        <v>0.41281056989138809</v>
      </c>
    </row>
    <row r="10" spans="1:15" x14ac:dyDescent="0.3">
      <c r="B10" s="37">
        <v>5</v>
      </c>
      <c r="C10" s="480">
        <f>C11+'Carichi unitari'!$M$4</f>
        <v>16.399999999999999</v>
      </c>
      <c r="D10" s="480">
        <f>D4</f>
        <v>415</v>
      </c>
      <c r="E10" s="401">
        <f>'Masse di piano'!N23</f>
        <v>10.083708352177601</v>
      </c>
      <c r="F10" s="8">
        <f t="shared" si="0"/>
        <v>4184.7389661537045</v>
      </c>
      <c r="G10" s="8">
        <f t="shared" si="1"/>
        <v>426.57889563238575</v>
      </c>
      <c r="H10" s="46">
        <f t="shared" si="2"/>
        <v>68629.719044920741</v>
      </c>
      <c r="I10" s="8">
        <f t="shared" si="3"/>
        <v>690.89820449766194</v>
      </c>
      <c r="J10" s="47">
        <f>$I$10+$J$9</f>
        <v>1321.8194941526658</v>
      </c>
      <c r="K10" s="41"/>
      <c r="N10" t="s">
        <v>476</v>
      </c>
      <c r="O10" s="477">
        <f>J11/(J10+J11)</f>
        <v>0.58718943010861191</v>
      </c>
    </row>
    <row r="11" spans="1:15" x14ac:dyDescent="0.3">
      <c r="B11" s="37">
        <v>4</v>
      </c>
      <c r="C11" s="480">
        <f>C12+'Carichi unitari'!$M$4</f>
        <v>13.2</v>
      </c>
      <c r="D11" s="480">
        <f>$D$4</f>
        <v>415</v>
      </c>
      <c r="E11" s="401">
        <f>'Masse di piano'!L23</f>
        <v>10.124913171454708</v>
      </c>
      <c r="F11" s="8">
        <f t="shared" si="0"/>
        <v>4201.838966153704</v>
      </c>
      <c r="G11" s="8">
        <f t="shared" si="1"/>
        <v>428.32201489844073</v>
      </c>
      <c r="H11" s="46">
        <f t="shared" si="2"/>
        <v>55464.274353228888</v>
      </c>
      <c r="I11" s="8">
        <f t="shared" si="3"/>
        <v>558.36113126631869</v>
      </c>
      <c r="J11" s="47">
        <f>$I$11+$J$10</f>
        <v>1880.1806254189846</v>
      </c>
      <c r="M11">
        <v>3</v>
      </c>
      <c r="N11" t="s">
        <v>475</v>
      </c>
      <c r="O11" s="21">
        <f>J11/(J11+J12)</f>
        <v>0.44809511885267117</v>
      </c>
    </row>
    <row r="12" spans="1:15" x14ac:dyDescent="0.3">
      <c r="B12" s="37">
        <v>3</v>
      </c>
      <c r="C12" s="480">
        <f>C13+'Carichi unitari'!$M$4</f>
        <v>10</v>
      </c>
      <c r="D12" s="480">
        <f>$D$4</f>
        <v>415</v>
      </c>
      <c r="E12" s="401">
        <f>'Masse di piano'!J23</f>
        <v>10.425997508804107</v>
      </c>
      <c r="F12" s="8">
        <f t="shared" si="0"/>
        <v>4326.7889661537047</v>
      </c>
      <c r="G12" s="8">
        <f t="shared" si="1"/>
        <v>441.05901795654478</v>
      </c>
      <c r="H12" s="46">
        <f t="shared" si="2"/>
        <v>43267.889661537047</v>
      </c>
      <c r="I12" s="8">
        <f t="shared" si="3"/>
        <v>435.57962491427855</v>
      </c>
      <c r="J12" s="47">
        <f>$I$12+$J$11</f>
        <v>2315.7602503332632</v>
      </c>
      <c r="N12" t="s">
        <v>476</v>
      </c>
      <c r="O12" s="21">
        <f>J12/(J11+J12)</f>
        <v>0.55190488114732883</v>
      </c>
    </row>
    <row r="13" spans="1:15" x14ac:dyDescent="0.3">
      <c r="B13" s="37">
        <v>2</v>
      </c>
      <c r="C13" s="8">
        <f>C14+'Carichi unitari'!$M$4</f>
        <v>6.8000000000000007</v>
      </c>
      <c r="D13" s="480">
        <f>$D$4</f>
        <v>415</v>
      </c>
      <c r="E13" s="401">
        <f>'Masse di piano'!H23</f>
        <v>10.462864978683625</v>
      </c>
      <c r="F13" s="8">
        <f t="shared" si="0"/>
        <v>4342.088966153704</v>
      </c>
      <c r="G13" s="8">
        <f t="shared" si="1"/>
        <v>442.61865098406764</v>
      </c>
      <c r="H13" s="46">
        <f t="shared" si="2"/>
        <v>29526.204969845188</v>
      </c>
      <c r="I13" s="8">
        <f t="shared" si="3"/>
        <v>297.24151990107487</v>
      </c>
      <c r="J13" s="47">
        <f>$I$13+$J$12</f>
        <v>2613.001770234338</v>
      </c>
      <c r="M13">
        <v>2</v>
      </c>
      <c r="N13" t="s">
        <v>477</v>
      </c>
      <c r="O13" s="21">
        <f>J12/(J12+J13)</f>
        <v>0.46984622927007907</v>
      </c>
    </row>
    <row r="14" spans="1:15" x14ac:dyDescent="0.3">
      <c r="B14" s="37">
        <v>1</v>
      </c>
      <c r="C14" s="480">
        <f>'Carichi unitari'!M5+0.6</f>
        <v>3.6</v>
      </c>
      <c r="D14" s="480">
        <f>C4</f>
        <v>344</v>
      </c>
      <c r="E14" s="401">
        <f>'Masse di piano'!F23</f>
        <v>11.46132595264837</v>
      </c>
      <c r="F14" s="8">
        <f t="shared" si="0"/>
        <v>3942.696127711039</v>
      </c>
      <c r="G14" s="8">
        <f t="shared" si="1"/>
        <v>401.90582341600805</v>
      </c>
      <c r="H14" s="46">
        <f t="shared" si="2"/>
        <v>14193.706059759741</v>
      </c>
      <c r="I14" s="8">
        <f t="shared" si="3"/>
        <v>142.88862271805201</v>
      </c>
      <c r="J14" s="47">
        <f>$I$14+$J$13</f>
        <v>2755.8903929523899</v>
      </c>
      <c r="N14" t="s">
        <v>476</v>
      </c>
      <c r="O14" s="21">
        <f>J13/(J13+J12)</f>
        <v>0.53015377072992098</v>
      </c>
    </row>
    <row r="15" spans="1:15" ht="15" thickBot="1" x14ac:dyDescent="0.35">
      <c r="B15" s="44" t="s">
        <v>65</v>
      </c>
      <c r="C15" s="45"/>
      <c r="D15" s="35"/>
      <c r="E15" s="36"/>
      <c r="F15" s="11">
        <f>F9+F10+F11+F12+F13+F14</f>
        <v>24195.701430661895</v>
      </c>
      <c r="G15" s="48">
        <f>G9+G10+G11+G12+G13+G14</f>
        <v>2466.4323578656363</v>
      </c>
      <c r="H15" s="49">
        <f>H9+H10+H11+H12+H13+H14</f>
        <v>273753.76308067795</v>
      </c>
      <c r="I15" s="35"/>
      <c r="J15" s="366">
        <f>SUM(J9:J14)</f>
        <v>11517.573822746645</v>
      </c>
      <c r="M15">
        <v>1</v>
      </c>
      <c r="N15" t="s">
        <v>475</v>
      </c>
      <c r="O15" s="21">
        <f>J13/(J13+J14)</f>
        <v>0.4866929136984901</v>
      </c>
    </row>
    <row r="16" spans="1:15" x14ac:dyDescent="0.3">
      <c r="B16" s="441"/>
      <c r="C16" s="441"/>
      <c r="D16" s="438"/>
      <c r="E16" s="127"/>
      <c r="F16" s="444"/>
      <c r="G16" s="39"/>
      <c r="H16" s="439"/>
      <c r="I16" s="438"/>
      <c r="J16" s="438"/>
      <c r="N16" t="s">
        <v>476</v>
      </c>
      <c r="O16" s="21">
        <f>J14/(J14+J13)</f>
        <v>0.5133070863015099</v>
      </c>
    </row>
    <row r="17" spans="1:10" x14ac:dyDescent="0.3">
      <c r="B17" s="441"/>
      <c r="C17" s="441"/>
      <c r="D17" s="438"/>
      <c r="E17" s="127"/>
      <c r="F17" s="444"/>
      <c r="G17" s="39"/>
      <c r="H17" s="439"/>
      <c r="I17" s="438"/>
      <c r="J17" s="438"/>
    </row>
    <row r="18" spans="1:10" ht="18" x14ac:dyDescent="0.35">
      <c r="A18" s="97" t="s">
        <v>411</v>
      </c>
      <c r="B18" s="440">
        <v>5</v>
      </c>
      <c r="C18" s="438"/>
      <c r="D18" s="440">
        <v>5.6</v>
      </c>
      <c r="E18" s="50">
        <v>5.26</v>
      </c>
      <c r="F18" s="444"/>
      <c r="G18" s="39"/>
      <c r="H18" s="439"/>
      <c r="I18" s="438"/>
      <c r="J18" s="438"/>
    </row>
    <row r="19" spans="1:10" ht="18" x14ac:dyDescent="0.35">
      <c r="A19" s="97" t="s">
        <v>412</v>
      </c>
      <c r="B19" s="440">
        <v>6.9</v>
      </c>
      <c r="C19" s="438"/>
      <c r="D19" s="440">
        <v>7.2</v>
      </c>
      <c r="E19" s="440">
        <v>7.09</v>
      </c>
    </row>
    <row r="20" spans="1:10" x14ac:dyDescent="0.3">
      <c r="A20" s="646" t="s">
        <v>403</v>
      </c>
      <c r="B20" s="9">
        <f>SQRT(B19^2+B18^2)</f>
        <v>8.5211501571090746</v>
      </c>
      <c r="C20" s="223"/>
      <c r="D20" s="9">
        <f>SQRT(D19^2+D18^2)</f>
        <v>9.1214034007931044</v>
      </c>
      <c r="E20" s="9">
        <f>SQRT(E19^2+E18^2)</f>
        <v>8.8281198451312388</v>
      </c>
    </row>
    <row r="21" spans="1:10" x14ac:dyDescent="0.3">
      <c r="A21" s="646"/>
      <c r="B21" s="21"/>
      <c r="C21" s="21"/>
      <c r="D21" s="21"/>
      <c r="E21" s="21"/>
      <c r="F21" s="21"/>
    </row>
  </sheetData>
  <mergeCells count="18">
    <mergeCell ref="H7:H8"/>
    <mergeCell ref="H2:I2"/>
    <mergeCell ref="A5:A6"/>
    <mergeCell ref="A20:A21"/>
    <mergeCell ref="J2:J3"/>
    <mergeCell ref="I7:I8"/>
    <mergeCell ref="J7:J8"/>
    <mergeCell ref="B2:B3"/>
    <mergeCell ref="D2:D3"/>
    <mergeCell ref="E2:E3"/>
    <mergeCell ref="B7:B8"/>
    <mergeCell ref="D7:D8"/>
    <mergeCell ref="E7:E8"/>
    <mergeCell ref="F7:F8"/>
    <mergeCell ref="G7:G8"/>
    <mergeCell ref="C2:C3"/>
    <mergeCell ref="C7:C8"/>
    <mergeCell ref="F2:F3"/>
  </mergeCells>
  <dataValidations disablePrompts="1" count="1">
    <dataValidation type="list" allowBlank="1" showInputMessage="1" showErrorMessage="1" sqref="J4">
      <formula1>"A,B"</formula1>
    </dataValidation>
  </dataValidations>
  <pageMargins left="0.7" right="0.7" top="0.75" bottom="0.75" header="0.3" footer="0.3"/>
  <pageSetup paperSize="9" orientation="portrait" horizontalDpi="360" verticalDpi="36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77"/>
  <sheetViews>
    <sheetView zoomScaleNormal="100" workbookViewId="0">
      <selection activeCell="F5" sqref="F5:F10"/>
    </sheetView>
  </sheetViews>
  <sheetFormatPr defaultRowHeight="14.4" x14ac:dyDescent="0.3"/>
  <cols>
    <col min="1" max="2" width="10.77734375" customWidth="1"/>
    <col min="3" max="3" width="11.77734375" customWidth="1"/>
    <col min="4" max="8" width="10.77734375" customWidth="1"/>
    <col min="9" max="9" width="12.33203125" customWidth="1"/>
    <col min="10" max="15" width="10.77734375" customWidth="1"/>
    <col min="16" max="20" width="9.77734375" customWidth="1"/>
  </cols>
  <sheetData>
    <row r="2" spans="2:15" ht="15.6" x14ac:dyDescent="0.3">
      <c r="B2" s="1"/>
      <c r="C2" s="1"/>
      <c r="D2" s="1"/>
      <c r="E2" s="1"/>
      <c r="F2" s="1"/>
      <c r="G2" s="1"/>
      <c r="H2" s="1"/>
      <c r="I2" s="1"/>
      <c r="J2" s="691" t="s">
        <v>79</v>
      </c>
      <c r="K2" s="691"/>
      <c r="L2" s="692">
        <v>12.1</v>
      </c>
      <c r="M2" s="1"/>
      <c r="N2" s="1"/>
    </row>
    <row r="3" spans="2:15" ht="15.6" x14ac:dyDescent="0.3">
      <c r="B3" s="669" t="s">
        <v>81</v>
      </c>
      <c r="C3" s="665" t="s">
        <v>88</v>
      </c>
      <c r="D3" s="665" t="s">
        <v>89</v>
      </c>
      <c r="E3" s="665" t="s">
        <v>90</v>
      </c>
      <c r="F3" s="665" t="s">
        <v>91</v>
      </c>
      <c r="G3" s="688" t="s">
        <v>92</v>
      </c>
      <c r="H3" s="1"/>
      <c r="I3" s="1"/>
      <c r="J3" s="691"/>
      <c r="K3" s="691"/>
      <c r="L3" s="692"/>
      <c r="M3" s="1"/>
      <c r="N3" s="1"/>
    </row>
    <row r="4" spans="2:15" ht="15.6" x14ac:dyDescent="0.3">
      <c r="B4" s="669"/>
      <c r="C4" s="666"/>
      <c r="D4" s="666"/>
      <c r="E4" s="666"/>
      <c r="F4" s="666"/>
      <c r="G4" s="666"/>
      <c r="H4" s="1"/>
      <c r="I4" s="1"/>
      <c r="J4" s="691" t="s">
        <v>80</v>
      </c>
      <c r="K4" s="691"/>
      <c r="L4" s="692">
        <v>11.3</v>
      </c>
      <c r="M4" s="1"/>
      <c r="N4" s="1"/>
    </row>
    <row r="5" spans="2:15" ht="15.6" x14ac:dyDescent="0.3">
      <c r="B5" s="56" t="s">
        <v>64</v>
      </c>
      <c r="C5" s="57">
        <f>' Masse e forze'!J9</f>
        <v>630.92128965500399</v>
      </c>
      <c r="D5" s="57">
        <f>C5/$L$4</f>
        <v>55.833742447345479</v>
      </c>
      <c r="E5" s="57">
        <f>0.4*'Carichi unitari'!$M$4*D5</f>
        <v>71.467190332602229</v>
      </c>
      <c r="F5" s="57">
        <f>E5/2</f>
        <v>35.733595166301114</v>
      </c>
      <c r="G5" s="57">
        <f>2*F5/L6</f>
        <v>17.866797583150557</v>
      </c>
      <c r="H5" s="1"/>
      <c r="I5" s="1"/>
      <c r="J5" s="691"/>
      <c r="K5" s="691"/>
      <c r="L5" s="692"/>
      <c r="M5" s="1"/>
      <c r="N5" s="1"/>
      <c r="O5" s="21"/>
    </row>
    <row r="6" spans="2:15" ht="15.6" x14ac:dyDescent="0.3">
      <c r="B6" s="56">
        <v>5</v>
      </c>
      <c r="C6" s="57">
        <f>' Masse e forze'!J10</f>
        <v>1321.8194941526658</v>
      </c>
      <c r="D6" s="57">
        <f t="shared" ref="D6:D10" si="0">C6/$L$4</f>
        <v>116.97517647368723</v>
      </c>
      <c r="E6" s="57">
        <f>0.5*'Carichi unitari'!$M$4*D6</f>
        <v>187.16028235789958</v>
      </c>
      <c r="F6" s="57">
        <f>(E6+E5)/2</f>
        <v>129.3137363452509</v>
      </c>
      <c r="G6" s="57">
        <f>2*F6/$L$6+G5</f>
        <v>82.523665755776008</v>
      </c>
      <c r="H6" s="1"/>
      <c r="I6" s="1"/>
      <c r="J6" s="687" t="s">
        <v>84</v>
      </c>
      <c r="K6" s="687"/>
      <c r="L6" s="403">
        <v>4</v>
      </c>
      <c r="M6" s="1"/>
      <c r="N6" s="1"/>
      <c r="O6" s="21"/>
    </row>
    <row r="7" spans="2:15" ht="15.6" x14ac:dyDescent="0.3">
      <c r="B7" s="56">
        <v>4</v>
      </c>
      <c r="C7" s="57">
        <f>' Masse e forze'!J11</f>
        <v>1880.1806254189846</v>
      </c>
      <c r="D7" s="57">
        <f t="shared" si="0"/>
        <v>166.38766596628182</v>
      </c>
      <c r="E7" s="57">
        <f>0.5*'Carichi unitari'!$M$4*D7</f>
        <v>266.22026554605094</v>
      </c>
      <c r="F7" s="57">
        <f>(E7+E6)/2</f>
        <v>226.69027395197526</v>
      </c>
      <c r="G7" s="57">
        <f>2*F7/$L$6+G6</f>
        <v>195.86880273176365</v>
      </c>
      <c r="H7" s="1"/>
      <c r="I7" s="1"/>
      <c r="J7" s="1"/>
      <c r="K7" s="1"/>
      <c r="L7" s="1"/>
      <c r="M7" s="1"/>
      <c r="N7" s="1"/>
      <c r="O7" s="21"/>
    </row>
    <row r="8" spans="2:15" ht="15.6" x14ac:dyDescent="0.3">
      <c r="B8" s="56">
        <v>3</v>
      </c>
      <c r="C8" s="57">
        <f>' Masse e forze'!J12</f>
        <v>2315.7602503332632</v>
      </c>
      <c r="D8" s="57">
        <f t="shared" si="0"/>
        <v>204.93453542772241</v>
      </c>
      <c r="E8" s="57">
        <f>0.5*'Carichi unitari'!$M$4*D8</f>
        <v>327.8952566843559</v>
      </c>
      <c r="F8" s="57">
        <f>(E8+E7)/2</f>
        <v>297.05776111520345</v>
      </c>
      <c r="G8" s="57">
        <f>2*F8/$L$6+G7</f>
        <v>344.39768328936538</v>
      </c>
      <c r="H8" s="1"/>
      <c r="I8" s="1"/>
      <c r="J8" s="1"/>
      <c r="K8" s="1"/>
      <c r="L8" s="1"/>
      <c r="M8" s="1"/>
      <c r="N8" s="1"/>
      <c r="O8" s="21"/>
    </row>
    <row r="9" spans="2:15" ht="15.6" x14ac:dyDescent="0.3">
      <c r="B9" s="56">
        <v>2</v>
      </c>
      <c r="C9" s="57">
        <f>' Masse e forze'!J13</f>
        <v>2613.001770234338</v>
      </c>
      <c r="D9" s="57">
        <f t="shared" si="0"/>
        <v>231.23909471100336</v>
      </c>
      <c r="E9" s="57">
        <f>0.5*'Carichi unitari'!$M$4*D9</f>
        <v>369.98255153760539</v>
      </c>
      <c r="F9" s="57">
        <f>(E9+E8)/2</f>
        <v>348.93890411098062</v>
      </c>
      <c r="G9" s="57">
        <f>2*F9/$L$6+G8</f>
        <v>518.86713534485568</v>
      </c>
      <c r="H9" s="1"/>
      <c r="I9" s="1"/>
      <c r="J9" s="1"/>
      <c r="K9" s="1"/>
      <c r="L9" s="1"/>
      <c r="M9" s="1"/>
      <c r="N9" s="1"/>
      <c r="O9" s="21"/>
    </row>
    <row r="10" spans="2:15" ht="15.6" x14ac:dyDescent="0.3">
      <c r="B10" s="58" t="s">
        <v>82</v>
      </c>
      <c r="C10" s="57">
        <f>' Masse e forze'!J14</f>
        <v>2755.8903929523899</v>
      </c>
      <c r="D10" s="57">
        <f t="shared" si="0"/>
        <v>243.88410557100795</v>
      </c>
      <c r="E10" s="57">
        <f>0.4*('Carichi unitari'!M5+0.6)*D10</f>
        <v>351.19311202225151</v>
      </c>
      <c r="F10" s="57">
        <f>(E10+E9)/2</f>
        <v>360.58783177992848</v>
      </c>
      <c r="G10" s="57">
        <f>2*F10/$L$6+G9</f>
        <v>699.16105123481998</v>
      </c>
      <c r="H10" s="1"/>
      <c r="I10" s="1"/>
      <c r="J10" s="1"/>
      <c r="K10" s="1"/>
      <c r="L10" s="1"/>
      <c r="M10" s="1"/>
      <c r="N10" s="1"/>
      <c r="O10" s="21"/>
    </row>
    <row r="11" spans="2:15" ht="15.6" x14ac:dyDescent="0.3">
      <c r="B11" s="59" t="s">
        <v>83</v>
      </c>
      <c r="C11" s="60"/>
      <c r="D11" s="60"/>
      <c r="E11" s="61">
        <f>0.6*('Carichi unitari'!M5+0.6)*D10</f>
        <v>526.78966803337721</v>
      </c>
      <c r="F11" s="60"/>
      <c r="G11" s="60"/>
      <c r="H11" s="1"/>
      <c r="I11" s="1"/>
      <c r="J11" s="1"/>
      <c r="K11" s="1"/>
      <c r="L11" s="1"/>
      <c r="M11" s="1"/>
      <c r="N11" s="1"/>
      <c r="O11" s="21"/>
    </row>
    <row r="12" spans="2:15" ht="15.6" x14ac:dyDescent="0.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5" ht="15.6" x14ac:dyDescent="0.3">
      <c r="B13" s="1" t="s">
        <v>98</v>
      </c>
      <c r="C13" s="1"/>
      <c r="D13" s="1"/>
      <c r="E13" s="1"/>
      <c r="F13" s="1"/>
      <c r="G13" s="1"/>
      <c r="H13" s="1" t="s">
        <v>86</v>
      </c>
      <c r="I13" s="1"/>
      <c r="J13" s="1"/>
      <c r="K13" s="1"/>
      <c r="L13" s="1"/>
      <c r="M13" s="1"/>
      <c r="N13" s="1"/>
    </row>
    <row r="14" spans="2:15" ht="15.6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15" ht="15.6" x14ac:dyDescent="0.3">
      <c r="B15" s="669" t="s">
        <v>81</v>
      </c>
      <c r="C15" s="665" t="s">
        <v>88</v>
      </c>
      <c r="D15" s="665" t="s">
        <v>89</v>
      </c>
      <c r="E15" s="665" t="s">
        <v>90</v>
      </c>
      <c r="F15" s="665" t="s">
        <v>91</v>
      </c>
      <c r="G15" s="689"/>
      <c r="H15" s="669" t="s">
        <v>81</v>
      </c>
      <c r="I15" s="665" t="s">
        <v>88</v>
      </c>
      <c r="J15" s="665" t="s">
        <v>89</v>
      </c>
      <c r="K15" s="665" t="s">
        <v>90</v>
      </c>
      <c r="L15" s="665" t="s">
        <v>91</v>
      </c>
      <c r="M15" s="1"/>
      <c r="N15" s="1"/>
    </row>
    <row r="16" spans="2:15" ht="15.6" x14ac:dyDescent="0.3">
      <c r="B16" s="669"/>
      <c r="C16" s="666"/>
      <c r="D16" s="666"/>
      <c r="E16" s="666"/>
      <c r="F16" s="666"/>
      <c r="G16" s="690"/>
      <c r="H16" s="669"/>
      <c r="I16" s="666"/>
      <c r="J16" s="666"/>
      <c r="K16" s="666"/>
      <c r="L16" s="666"/>
      <c r="M16" s="1"/>
      <c r="N16" s="1"/>
    </row>
    <row r="17" spans="2:18" ht="15.6" x14ac:dyDescent="0.3">
      <c r="B17" s="56" t="s">
        <v>64</v>
      </c>
      <c r="C17" s="57">
        <f t="shared" ref="C17:C22" si="1">C5</f>
        <v>630.92128965500399</v>
      </c>
      <c r="D17" s="57">
        <f>D5*20/100+D5</f>
        <v>67.000490936814572</v>
      </c>
      <c r="E17" s="57">
        <f>E5*20/100+E5</f>
        <v>85.76062839912268</v>
      </c>
      <c r="F17" s="57">
        <f>F5*20/100+F5</f>
        <v>42.88031419956134</v>
      </c>
      <c r="G17" s="62"/>
      <c r="H17" s="56" t="s">
        <v>64</v>
      </c>
      <c r="I17" s="57">
        <f t="shared" ref="I17:J22" si="2">C17</f>
        <v>630.92128965500399</v>
      </c>
      <c r="J17" s="57">
        <f t="shared" si="2"/>
        <v>67.000490936814572</v>
      </c>
      <c r="K17" s="57">
        <f>IF(' Masse e forze'!$J$4="A",(E17*1.5),(E17*1.3))</f>
        <v>111.48881691885948</v>
      </c>
      <c r="L17" s="57">
        <f t="shared" ref="L17:L22" si="3">F17</f>
        <v>42.88031419956134</v>
      </c>
      <c r="M17" s="1"/>
      <c r="N17" s="1"/>
    </row>
    <row r="18" spans="2:18" ht="15.6" x14ac:dyDescent="0.3">
      <c r="B18" s="56">
        <v>5</v>
      </c>
      <c r="C18" s="57">
        <f t="shared" si="1"/>
        <v>1321.8194941526658</v>
      </c>
      <c r="D18" s="57">
        <f t="shared" ref="D18:F22" si="4">D6*20/100+D6</f>
        <v>140.37021176842467</v>
      </c>
      <c r="E18" s="57">
        <f t="shared" si="4"/>
        <v>224.5923388294795</v>
      </c>
      <c r="F18" s="57">
        <f t="shared" si="4"/>
        <v>155.17648361430108</v>
      </c>
      <c r="G18" s="62"/>
      <c r="H18" s="56">
        <v>5</v>
      </c>
      <c r="I18" s="57">
        <f t="shared" si="2"/>
        <v>1321.8194941526658</v>
      </c>
      <c r="J18" s="57">
        <f t="shared" si="2"/>
        <v>140.37021176842467</v>
      </c>
      <c r="K18" s="57">
        <f>IF(' Masse e forze'!$J$4="A",(E18*1.5),(E18*1.3))</f>
        <v>291.97004047832337</v>
      </c>
      <c r="L18" s="57">
        <f t="shared" si="3"/>
        <v>155.17648361430108</v>
      </c>
      <c r="M18" s="1"/>
      <c r="N18" s="1"/>
    </row>
    <row r="19" spans="2:18" ht="15.6" x14ac:dyDescent="0.3">
      <c r="B19" s="56">
        <v>4</v>
      </c>
      <c r="C19" s="57">
        <f t="shared" si="1"/>
        <v>1880.1806254189846</v>
      </c>
      <c r="D19" s="57">
        <f t="shared" si="4"/>
        <v>199.66519915953819</v>
      </c>
      <c r="E19" s="57">
        <f t="shared" si="4"/>
        <v>319.46431865526114</v>
      </c>
      <c r="F19" s="57">
        <f t="shared" si="4"/>
        <v>272.02832874237032</v>
      </c>
      <c r="G19" s="62"/>
      <c r="H19" s="56">
        <v>4</v>
      </c>
      <c r="I19" s="57">
        <f t="shared" si="2"/>
        <v>1880.1806254189846</v>
      </c>
      <c r="J19" s="57">
        <f t="shared" si="2"/>
        <v>199.66519915953819</v>
      </c>
      <c r="K19" s="57">
        <f>IF(' Masse e forze'!$J$4="A",(E19*1.5),(E19*1.3))</f>
        <v>415.30361425183952</v>
      </c>
      <c r="L19" s="57">
        <f t="shared" si="3"/>
        <v>272.02832874237032</v>
      </c>
      <c r="M19" s="1"/>
      <c r="N19" s="1"/>
    </row>
    <row r="20" spans="2:18" ht="15.6" x14ac:dyDescent="0.3">
      <c r="B20" s="56">
        <v>3</v>
      </c>
      <c r="C20" s="57">
        <f t="shared" si="1"/>
        <v>2315.7602503332632</v>
      </c>
      <c r="D20" s="57">
        <f t="shared" si="4"/>
        <v>245.9214425132669</v>
      </c>
      <c r="E20" s="57">
        <f t="shared" si="4"/>
        <v>393.4743080212271</v>
      </c>
      <c r="F20" s="57">
        <f t="shared" si="4"/>
        <v>356.46931333824415</v>
      </c>
      <c r="G20" s="62"/>
      <c r="H20" s="56">
        <v>3</v>
      </c>
      <c r="I20" s="57">
        <f t="shared" si="2"/>
        <v>2315.7602503332632</v>
      </c>
      <c r="J20" s="57">
        <f t="shared" si="2"/>
        <v>245.9214425132669</v>
      </c>
      <c r="K20" s="57">
        <f>IF(' Masse e forze'!$J$4="A",(E20*1.5),(E20*1.3))</f>
        <v>511.51660042759528</v>
      </c>
      <c r="L20" s="57">
        <f t="shared" si="3"/>
        <v>356.46931333824415</v>
      </c>
      <c r="M20" s="1"/>
      <c r="N20" s="1"/>
    </row>
    <row r="21" spans="2:18" ht="15.6" x14ac:dyDescent="0.3">
      <c r="B21" s="56">
        <v>2</v>
      </c>
      <c r="C21" s="57">
        <f t="shared" si="1"/>
        <v>2613.001770234338</v>
      </c>
      <c r="D21" s="57">
        <f t="shared" si="4"/>
        <v>277.48691365320406</v>
      </c>
      <c r="E21" s="57">
        <f t="shared" si="4"/>
        <v>443.97906184512647</v>
      </c>
      <c r="F21" s="57">
        <f t="shared" si="4"/>
        <v>418.72668493317673</v>
      </c>
      <c r="G21" s="62"/>
      <c r="H21" s="56">
        <v>2</v>
      </c>
      <c r="I21" s="57">
        <f t="shared" si="2"/>
        <v>2613.001770234338</v>
      </c>
      <c r="J21" s="57">
        <f t="shared" si="2"/>
        <v>277.48691365320406</v>
      </c>
      <c r="K21" s="57">
        <f>IF(' Masse e forze'!$J$4="A",(E21*1.5),(E21*1.3))</f>
        <v>577.17278039866437</v>
      </c>
      <c r="L21" s="57">
        <f t="shared" si="3"/>
        <v>418.72668493317673</v>
      </c>
      <c r="M21" s="1"/>
      <c r="N21" s="1"/>
    </row>
    <row r="22" spans="2:18" ht="15.6" x14ac:dyDescent="0.3">
      <c r="B22" s="56" t="s">
        <v>82</v>
      </c>
      <c r="C22" s="57">
        <f t="shared" si="1"/>
        <v>2755.8903929523899</v>
      </c>
      <c r="D22" s="57">
        <f t="shared" si="4"/>
        <v>292.66092668520957</v>
      </c>
      <c r="E22" s="57">
        <f t="shared" si="4"/>
        <v>421.43173442670184</v>
      </c>
      <c r="F22" s="57">
        <f t="shared" si="4"/>
        <v>432.70539813591415</v>
      </c>
      <c r="G22" s="62"/>
      <c r="H22" s="56" t="s">
        <v>82</v>
      </c>
      <c r="I22" s="57">
        <f t="shared" si="2"/>
        <v>2755.8903929523899</v>
      </c>
      <c r="J22" s="57">
        <f t="shared" si="2"/>
        <v>292.66092668520957</v>
      </c>
      <c r="K22" s="57">
        <f>IF(' Masse e forze'!$J$4="A",(E22*1.5),(E22*1.3))</f>
        <v>547.86125475471238</v>
      </c>
      <c r="L22" s="57">
        <f t="shared" si="3"/>
        <v>432.70539813591415</v>
      </c>
      <c r="M22" s="1"/>
      <c r="N22" s="1"/>
    </row>
    <row r="23" spans="2:18" ht="15.6" x14ac:dyDescent="0.3">
      <c r="B23" s="59" t="s">
        <v>83</v>
      </c>
      <c r="C23" s="60"/>
      <c r="D23" s="60"/>
      <c r="E23" s="57">
        <f>E11*20/100+E11</f>
        <v>632.1476016400527</v>
      </c>
      <c r="F23" s="60"/>
      <c r="G23" s="63"/>
      <c r="H23" s="59" t="s">
        <v>83</v>
      </c>
      <c r="I23" s="60"/>
      <c r="J23" s="60"/>
      <c r="K23" s="57">
        <f>E23</f>
        <v>632.1476016400527</v>
      </c>
      <c r="L23" s="60"/>
      <c r="M23" s="1"/>
      <c r="N23" s="1"/>
    </row>
    <row r="24" spans="2:18" ht="16.2" thickBot="1" x14ac:dyDescent="0.35">
      <c r="B24" s="64"/>
      <c r="C24" s="60"/>
      <c r="D24" s="60"/>
      <c r="E24" s="62"/>
      <c r="F24" s="60"/>
      <c r="G24" s="63"/>
      <c r="H24" s="64"/>
      <c r="I24" s="60"/>
      <c r="J24" s="60"/>
      <c r="K24" s="62"/>
      <c r="L24" s="60"/>
      <c r="M24" s="1"/>
      <c r="N24" s="1"/>
    </row>
    <row r="25" spans="2:18" ht="15.6" customHeight="1" thickBot="1" x14ac:dyDescent="0.35">
      <c r="B25" s="671" t="s">
        <v>87</v>
      </c>
      <c r="C25" s="672"/>
      <c r="D25" s="672"/>
      <c r="E25" s="672"/>
      <c r="F25" s="672"/>
      <c r="G25" s="404" t="s">
        <v>368</v>
      </c>
      <c r="H25" s="97">
        <v>5</v>
      </c>
    </row>
    <row r="26" spans="2:18" ht="14.4" customHeight="1" x14ac:dyDescent="0.3">
      <c r="B26" s="683" t="s">
        <v>81</v>
      </c>
      <c r="C26" s="684" t="s">
        <v>96</v>
      </c>
      <c r="D26" s="685" t="s">
        <v>366</v>
      </c>
      <c r="E26" s="684" t="s">
        <v>97</v>
      </c>
      <c r="F26" s="684" t="s">
        <v>94</v>
      </c>
      <c r="G26" s="693" t="s">
        <v>95</v>
      </c>
      <c r="H26" s="683" t="s">
        <v>148</v>
      </c>
      <c r="I26" s="669"/>
      <c r="J26" s="665" t="s">
        <v>466</v>
      </c>
      <c r="K26" s="665"/>
      <c r="N26" s="1"/>
      <c r="O26" s="1"/>
    </row>
    <row r="27" spans="2:18" ht="15.6" customHeight="1" x14ac:dyDescent="0.3">
      <c r="B27" s="669"/>
      <c r="C27" s="666"/>
      <c r="D27" s="686"/>
      <c r="E27" s="668"/>
      <c r="F27" s="666"/>
      <c r="G27" s="664"/>
      <c r="H27" s="669"/>
      <c r="I27" s="669"/>
      <c r="J27" s="665"/>
      <c r="K27" s="665"/>
      <c r="M27" s="665" t="s">
        <v>96</v>
      </c>
      <c r="N27" s="667" t="s">
        <v>367</v>
      </c>
      <c r="O27" s="665" t="s">
        <v>97</v>
      </c>
      <c r="P27" s="665" t="s">
        <v>94</v>
      </c>
      <c r="Q27" s="663" t="s">
        <v>95</v>
      </c>
    </row>
    <row r="28" spans="2:18" ht="15.6" x14ac:dyDescent="0.3">
      <c r="B28" s="56" t="s">
        <v>64</v>
      </c>
      <c r="C28" s="57">
        <f t="shared" ref="C28:C33" si="5">L17</f>
        <v>42.88031419956134</v>
      </c>
      <c r="D28" s="9">
        <f>'Carichi sulle travi'!Z118</f>
        <v>18.806883116883121</v>
      </c>
      <c r="E28" s="57">
        <f t="shared" ref="E28:E33" si="6">D28*$H$25^2/10</f>
        <v>47.017207792207799</v>
      </c>
      <c r="F28" s="57">
        <f t="shared" ref="F28:F33" si="7">C28+E28</f>
        <v>89.897521991769139</v>
      </c>
      <c r="G28" s="81">
        <f t="shared" ref="G28:G33" si="8">0.017*SQRT(F28/0.3)</f>
        <v>0.29428095337404631</v>
      </c>
      <c r="H28" s="105">
        <v>30</v>
      </c>
      <c r="I28" s="137">
        <v>50</v>
      </c>
      <c r="J28" s="137">
        <f>_xlfn.CEILING.MATH('Carichi sulle travi'!U30,10)</f>
        <v>100</v>
      </c>
      <c r="K28" s="137">
        <f>'Carichi unitari'!$M$3*100</f>
        <v>24</v>
      </c>
      <c r="M28" s="666"/>
      <c r="N28" s="667"/>
      <c r="O28" s="668"/>
      <c r="P28" s="666"/>
      <c r="Q28" s="664"/>
      <c r="R28" s="21">
        <f>'Carichi sulle travi'!Z73</f>
        <v>19.308516000000001</v>
      </c>
    </row>
    <row r="29" spans="2:18" ht="15.6" x14ac:dyDescent="0.3">
      <c r="B29" s="56">
        <v>5</v>
      </c>
      <c r="C29" s="57">
        <f t="shared" si="5"/>
        <v>155.17648361430108</v>
      </c>
      <c r="D29" s="9">
        <f>'Carichi sulle travi'!$T$118</f>
        <v>33.897013189197168</v>
      </c>
      <c r="E29" s="57">
        <f t="shared" si="6"/>
        <v>84.742532972992919</v>
      </c>
      <c r="F29" s="57">
        <f t="shared" si="7"/>
        <v>239.91901658729398</v>
      </c>
      <c r="G29" s="81">
        <f t="shared" si="8"/>
        <v>0.4807514804751965</v>
      </c>
      <c r="H29" s="105">
        <v>30</v>
      </c>
      <c r="I29" s="137">
        <v>50</v>
      </c>
      <c r="J29" s="137">
        <v>60</v>
      </c>
      <c r="K29" s="137">
        <f>'Carichi unitari'!$M$3*100</f>
        <v>24</v>
      </c>
      <c r="M29" s="9">
        <f t="shared" ref="M29:M34" si="9">F5</f>
        <v>35.733595166301114</v>
      </c>
      <c r="N29" s="9">
        <v>32</v>
      </c>
      <c r="O29" s="9">
        <f t="shared" ref="O29:O34" si="10">N29*$H$25^2/10</f>
        <v>80</v>
      </c>
      <c r="P29" s="9">
        <f t="shared" ref="P29:P34" si="11">M29+O29</f>
        <v>115.73359516630111</v>
      </c>
      <c r="Q29" s="81">
        <f t="shared" ref="Q29:Q34" si="12">0.018*SQRT(P29/0.3)</f>
        <v>0.35354247662707405</v>
      </c>
    </row>
    <row r="30" spans="2:18" ht="15.6" x14ac:dyDescent="0.3">
      <c r="B30" s="56">
        <v>4</v>
      </c>
      <c r="C30" s="57">
        <f t="shared" si="5"/>
        <v>272.02832874237032</v>
      </c>
      <c r="D30" s="9">
        <f>'Carichi sulle travi'!$T$118</f>
        <v>33.897013189197168</v>
      </c>
      <c r="E30" s="57">
        <f t="shared" si="6"/>
        <v>84.742532972992919</v>
      </c>
      <c r="F30" s="57">
        <f t="shared" si="7"/>
        <v>356.77086171536325</v>
      </c>
      <c r="G30" s="81">
        <f t="shared" si="8"/>
        <v>0.58625017138800628</v>
      </c>
      <c r="H30" s="105">
        <v>30</v>
      </c>
      <c r="I30" s="405">
        <v>60</v>
      </c>
      <c r="M30" s="9">
        <f t="shared" si="9"/>
        <v>129.3137363452509</v>
      </c>
      <c r="N30" s="9">
        <v>36</v>
      </c>
      <c r="O30" s="9">
        <f t="shared" si="10"/>
        <v>90</v>
      </c>
      <c r="P30" s="9">
        <f t="shared" si="11"/>
        <v>219.3137363452509</v>
      </c>
      <c r="Q30" s="81">
        <f t="shared" si="12"/>
        <v>0.48668145151923653</v>
      </c>
    </row>
    <row r="31" spans="2:18" ht="15.6" x14ac:dyDescent="0.3">
      <c r="B31" s="56">
        <v>3</v>
      </c>
      <c r="C31" s="57">
        <f t="shared" si="5"/>
        <v>356.46931333824415</v>
      </c>
      <c r="D31" s="9">
        <f>'Carichi sulle travi'!$N$118</f>
        <v>34.647013189197175</v>
      </c>
      <c r="E31" s="57">
        <f t="shared" si="6"/>
        <v>86.617532972992933</v>
      </c>
      <c r="F31" s="57">
        <f t="shared" si="7"/>
        <v>443.08684631123708</v>
      </c>
      <c r="G31" s="81">
        <f t="shared" si="8"/>
        <v>0.65333018345485805</v>
      </c>
      <c r="H31" s="105">
        <v>30</v>
      </c>
      <c r="I31" s="405">
        <v>70</v>
      </c>
      <c r="M31" s="9">
        <f t="shared" si="9"/>
        <v>226.69027395197526</v>
      </c>
      <c r="N31" s="9">
        <v>36</v>
      </c>
      <c r="O31" s="9">
        <f t="shared" si="10"/>
        <v>90</v>
      </c>
      <c r="P31" s="9">
        <f t="shared" si="11"/>
        <v>316.69027395197526</v>
      </c>
      <c r="Q31" s="81">
        <f t="shared" si="12"/>
        <v>0.58482945878959736</v>
      </c>
    </row>
    <row r="32" spans="2:18" ht="15.6" x14ac:dyDescent="0.3">
      <c r="B32" s="56">
        <v>2</v>
      </c>
      <c r="C32" s="57">
        <f t="shared" si="5"/>
        <v>418.72668493317673</v>
      </c>
      <c r="D32" s="9">
        <f>'Carichi sulle travi'!$N$118</f>
        <v>34.647013189197175</v>
      </c>
      <c r="E32" s="57">
        <f t="shared" si="6"/>
        <v>86.617532972992933</v>
      </c>
      <c r="F32" s="57">
        <f t="shared" si="7"/>
        <v>505.34421790616966</v>
      </c>
      <c r="G32" s="81">
        <f t="shared" si="8"/>
        <v>0.69772124083782694</v>
      </c>
      <c r="H32" s="105">
        <v>30</v>
      </c>
      <c r="I32" s="405">
        <v>70</v>
      </c>
      <c r="M32" s="9">
        <f t="shared" si="9"/>
        <v>297.05776111520345</v>
      </c>
      <c r="N32" s="9">
        <v>36.799999999999997</v>
      </c>
      <c r="O32" s="9">
        <f t="shared" si="10"/>
        <v>91.999999999999986</v>
      </c>
      <c r="P32" s="9">
        <f t="shared" si="11"/>
        <v>389.05776111520345</v>
      </c>
      <c r="Q32" s="81">
        <f t="shared" si="12"/>
        <v>0.64821476533971334</v>
      </c>
    </row>
    <row r="33" spans="2:20" ht="15.6" x14ac:dyDescent="0.3">
      <c r="B33" s="56">
        <v>1</v>
      </c>
      <c r="C33" s="57">
        <f t="shared" si="5"/>
        <v>432.70539813591415</v>
      </c>
      <c r="D33" s="9">
        <f>'Carichi sulle travi'!H118</f>
        <v>23.849795460633125</v>
      </c>
      <c r="E33" s="57">
        <f t="shared" si="6"/>
        <v>59.624488651582816</v>
      </c>
      <c r="F33" s="57">
        <f t="shared" si="7"/>
        <v>492.32988678749695</v>
      </c>
      <c r="G33" s="81">
        <f t="shared" si="8"/>
        <v>0.68867829277437098</v>
      </c>
      <c r="H33" s="105">
        <v>30</v>
      </c>
      <c r="I33" s="137">
        <v>70</v>
      </c>
      <c r="J33" s="1"/>
      <c r="K33" s="1"/>
      <c r="M33" s="9">
        <f t="shared" si="9"/>
        <v>348.93890411098062</v>
      </c>
      <c r="N33" s="9">
        <v>36.799999999999997</v>
      </c>
      <c r="O33" s="9">
        <f t="shared" si="10"/>
        <v>91.999999999999986</v>
      </c>
      <c r="P33" s="9">
        <f t="shared" si="11"/>
        <v>440.93890411098062</v>
      </c>
      <c r="Q33" s="81">
        <f t="shared" si="12"/>
        <v>0.69008261566268936</v>
      </c>
    </row>
    <row r="34" spans="2:20" ht="16.2" thickBo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9">
        <f t="shared" si="9"/>
        <v>360.58783177992848</v>
      </c>
      <c r="N34" s="9">
        <v>37</v>
      </c>
      <c r="O34" s="9">
        <f t="shared" si="10"/>
        <v>92.5</v>
      </c>
      <c r="P34" s="9">
        <f t="shared" si="11"/>
        <v>453.08783177992848</v>
      </c>
      <c r="Q34" s="81">
        <f t="shared" si="12"/>
        <v>0.69952473746274524</v>
      </c>
    </row>
    <row r="35" spans="2:20" ht="16.2" thickBot="1" x14ac:dyDescent="0.35">
      <c r="B35" s="671" t="s">
        <v>100</v>
      </c>
      <c r="C35" s="672"/>
      <c r="D35" s="672"/>
      <c r="E35" s="672"/>
      <c r="F35" s="673"/>
      <c r="G35" s="1"/>
      <c r="H35" s="1"/>
      <c r="I35" s="1"/>
      <c r="J35" s="1"/>
      <c r="K35" s="1"/>
      <c r="Q35" s="1"/>
      <c r="R35" s="1"/>
      <c r="S35" s="1"/>
      <c r="T35" s="1"/>
    </row>
    <row r="36" spans="2:20" ht="15.6" x14ac:dyDescent="0.3">
      <c r="B36" s="674" t="s">
        <v>81</v>
      </c>
      <c r="C36" s="676" t="s">
        <v>99</v>
      </c>
      <c r="D36" s="678" t="s">
        <v>92</v>
      </c>
      <c r="E36" s="679" t="s">
        <v>103</v>
      </c>
      <c r="F36" s="681" t="s">
        <v>101</v>
      </c>
      <c r="G36" s="669" t="s">
        <v>145</v>
      </c>
      <c r="H36" s="669"/>
      <c r="Q36" s="1"/>
      <c r="R36" s="1"/>
      <c r="S36" s="1"/>
      <c r="T36" s="1"/>
    </row>
    <row r="37" spans="2:20" ht="15.6" x14ac:dyDescent="0.3">
      <c r="B37" s="675"/>
      <c r="C37" s="677"/>
      <c r="D37" s="677"/>
      <c r="E37" s="680"/>
      <c r="F37" s="682"/>
      <c r="G37" s="669"/>
      <c r="H37" s="669"/>
      <c r="Q37" s="70"/>
      <c r="R37" s="1"/>
      <c r="S37" s="1"/>
      <c r="T37" s="1"/>
    </row>
    <row r="38" spans="2:20" ht="15.6" x14ac:dyDescent="0.3">
      <c r="B38" s="122" t="s">
        <v>64</v>
      </c>
      <c r="C38" s="57">
        <f>K17</f>
        <v>111.48881691885948</v>
      </c>
      <c r="D38" s="57">
        <f t="shared" ref="D38:D43" si="13">G5</f>
        <v>17.866797583150557</v>
      </c>
      <c r="E38" s="57">
        <f>'Carichi sui pilastri'!P19</f>
        <v>52.610503571428573</v>
      </c>
      <c r="F38" s="132">
        <f>'Carichi sui pilastri'!P18</f>
        <v>229.83119464285713</v>
      </c>
      <c r="G38" s="105">
        <v>30</v>
      </c>
      <c r="H38" s="137">
        <v>60</v>
      </c>
      <c r="Q38" s="70"/>
      <c r="R38" s="1"/>
      <c r="S38" s="1"/>
      <c r="T38" s="1"/>
    </row>
    <row r="39" spans="2:20" ht="15.6" x14ac:dyDescent="0.3">
      <c r="B39" s="122">
        <v>5</v>
      </c>
      <c r="C39" s="57">
        <f t="shared" ref="C39:C44" si="14">K18</f>
        <v>291.97004047832337</v>
      </c>
      <c r="D39" s="57">
        <f t="shared" si="13"/>
        <v>82.523665755776008</v>
      </c>
      <c r="E39" s="57">
        <f>E38+'Carichi sui pilastri'!N19</f>
        <v>140.77806886160715</v>
      </c>
      <c r="F39" s="132">
        <f>F38+'Carichi sui pilastri'!N18</f>
        <v>496.24108180357143</v>
      </c>
      <c r="G39" s="105">
        <v>30</v>
      </c>
      <c r="H39" s="137">
        <v>60</v>
      </c>
      <c r="Q39" s="70"/>
      <c r="R39" s="1"/>
      <c r="S39" s="1"/>
      <c r="T39" s="1"/>
    </row>
    <row r="40" spans="2:20" ht="15.6" x14ac:dyDescent="0.3">
      <c r="B40" s="122">
        <v>4</v>
      </c>
      <c r="C40" s="57">
        <f t="shared" si="14"/>
        <v>415.30361425183952</v>
      </c>
      <c r="D40" s="57">
        <f t="shared" si="13"/>
        <v>195.86880273176365</v>
      </c>
      <c r="E40" s="57">
        <f>E39+'Carichi sui pilastri'!L19</f>
        <v>230.37063415178574</v>
      </c>
      <c r="F40" s="132">
        <f>F39+'Carichi sui pilastri'!L18</f>
        <v>767.88517432142862</v>
      </c>
      <c r="G40" s="105">
        <v>30</v>
      </c>
      <c r="H40" s="137">
        <v>70</v>
      </c>
      <c r="Q40" s="70"/>
      <c r="R40" s="1"/>
      <c r="S40" s="1"/>
      <c r="T40" s="1"/>
    </row>
    <row r="41" spans="2:20" ht="15.6" x14ac:dyDescent="0.3">
      <c r="B41" s="122">
        <v>3</v>
      </c>
      <c r="C41" s="57">
        <f t="shared" si="14"/>
        <v>511.51660042759528</v>
      </c>
      <c r="D41" s="57">
        <f t="shared" si="13"/>
        <v>344.39768328936538</v>
      </c>
      <c r="E41" s="57">
        <f>E40+'Carichi sui pilastri'!J19</f>
        <v>323.33819944196432</v>
      </c>
      <c r="F41" s="132">
        <f>F40+'Carichi sui pilastri'!J18</f>
        <v>1041.195061482143</v>
      </c>
      <c r="G41" s="105">
        <v>30</v>
      </c>
      <c r="H41" s="137">
        <v>70</v>
      </c>
      <c r="I41" s="1"/>
      <c r="K41" s="1"/>
      <c r="Q41" s="70"/>
      <c r="R41" s="1"/>
      <c r="S41" s="1"/>
      <c r="T41" s="1"/>
    </row>
    <row r="42" spans="2:20" ht="15.6" x14ac:dyDescent="0.3">
      <c r="B42" s="122">
        <v>2</v>
      </c>
      <c r="C42" s="57">
        <f t="shared" si="14"/>
        <v>577.17278039866437</v>
      </c>
      <c r="D42" s="57">
        <f t="shared" si="13"/>
        <v>518.86713534485568</v>
      </c>
      <c r="E42" s="57">
        <f>E41+'Carichi sui pilastri'!H19</f>
        <v>417.58076473214288</v>
      </c>
      <c r="F42" s="132">
        <f>F41+'Carichi sui pilastri'!H18</f>
        <v>1315.7799486428573</v>
      </c>
      <c r="G42" s="105">
        <v>30</v>
      </c>
      <c r="H42" s="137">
        <v>80</v>
      </c>
      <c r="I42" s="1"/>
      <c r="J42" s="1"/>
      <c r="K42" s="1"/>
      <c r="Q42" s="70"/>
      <c r="R42" s="1"/>
      <c r="S42" s="1"/>
      <c r="T42" s="1"/>
    </row>
    <row r="43" spans="2:20" ht="16.2" thickBot="1" x14ac:dyDescent="0.35">
      <c r="B43" s="275" t="s">
        <v>82</v>
      </c>
      <c r="C43" s="128">
        <f t="shared" si="14"/>
        <v>547.86125475471238</v>
      </c>
      <c r="D43" s="128">
        <f t="shared" si="13"/>
        <v>699.16105123481998</v>
      </c>
      <c r="E43" s="128">
        <f>E42+'Carichi sui pilastri'!F19</f>
        <v>514.22333002232142</v>
      </c>
      <c r="F43" s="133">
        <f>F42+'Carichi sui pilastri'!F18</f>
        <v>1604.9054130379466</v>
      </c>
      <c r="G43" s="105">
        <v>30</v>
      </c>
      <c r="H43" s="137">
        <v>80</v>
      </c>
      <c r="I43" s="1"/>
      <c r="J43" s="1"/>
      <c r="K43" s="1"/>
      <c r="L43" s="70"/>
      <c r="M43" s="1"/>
      <c r="N43" s="1"/>
      <c r="O43" s="1"/>
    </row>
    <row r="44" spans="2:20" ht="15.6" x14ac:dyDescent="0.3">
      <c r="B44" s="279" t="s">
        <v>83</v>
      </c>
      <c r="C44" s="278">
        <f t="shared" si="14"/>
        <v>632.1476016400527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20" ht="15.6" x14ac:dyDescent="0.3">
      <c r="B45" s="64"/>
      <c r="C45" s="6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20" ht="15.6" x14ac:dyDescent="0.3">
      <c r="B46" s="615" t="s">
        <v>142</v>
      </c>
      <c r="C46" s="615"/>
      <c r="D46" s="615" t="s">
        <v>145</v>
      </c>
      <c r="E46" s="615"/>
      <c r="F46" s="611" t="s">
        <v>146</v>
      </c>
      <c r="G46" s="611"/>
      <c r="H46" s="1"/>
      <c r="I46" s="1"/>
      <c r="J46" s="1"/>
      <c r="K46" s="1"/>
      <c r="L46" s="1"/>
      <c r="M46" s="1"/>
      <c r="N46" s="1"/>
      <c r="O46" s="1"/>
    </row>
    <row r="47" spans="2:20" ht="15.6" x14ac:dyDescent="0.3">
      <c r="B47" s="78" t="s">
        <v>102</v>
      </c>
      <c r="C47" s="57">
        <f>C43</f>
        <v>547.86125475471238</v>
      </c>
      <c r="D47" s="613" t="s">
        <v>166</v>
      </c>
      <c r="E47" s="613"/>
      <c r="F47" s="670" t="s">
        <v>151</v>
      </c>
      <c r="G47" s="670"/>
      <c r="H47" s="1"/>
      <c r="I47" s="1"/>
      <c r="J47" s="1"/>
      <c r="K47" s="1"/>
      <c r="L47" s="1"/>
      <c r="M47" s="1"/>
      <c r="N47" s="1"/>
      <c r="O47" s="1"/>
    </row>
    <row r="48" spans="2:20" ht="18" x14ac:dyDescent="0.4">
      <c r="B48" s="78" t="s">
        <v>143</v>
      </c>
      <c r="C48" s="57">
        <f>E43+D43</f>
        <v>1213.3843812571413</v>
      </c>
      <c r="D48" s="613"/>
      <c r="E48" s="613"/>
      <c r="F48" s="670"/>
      <c r="G48" s="670"/>
      <c r="H48" s="1"/>
      <c r="I48" s="1"/>
      <c r="J48" s="1"/>
      <c r="K48" s="1"/>
      <c r="L48" s="1"/>
      <c r="M48" s="1"/>
      <c r="N48" s="1"/>
      <c r="O48" s="1"/>
    </row>
    <row r="49" spans="2:15" ht="15.6" x14ac:dyDescent="0.3">
      <c r="B49" s="78" t="s">
        <v>102</v>
      </c>
      <c r="C49" s="433">
        <f>C44*70/100</f>
        <v>442.50332114803695</v>
      </c>
      <c r="D49" s="613" t="s">
        <v>166</v>
      </c>
      <c r="E49" s="613"/>
      <c r="F49" s="670" t="s">
        <v>151</v>
      </c>
      <c r="G49" s="670"/>
      <c r="H49" s="1"/>
      <c r="I49" s="1"/>
      <c r="J49" s="1"/>
      <c r="K49" s="1"/>
      <c r="L49" s="1"/>
      <c r="M49" s="1"/>
      <c r="N49" s="1"/>
      <c r="O49" s="1"/>
    </row>
    <row r="50" spans="2:15" ht="18" x14ac:dyDescent="0.4">
      <c r="B50" s="78" t="s">
        <v>144</v>
      </c>
      <c r="C50" s="76">
        <f>E42-D42</f>
        <v>-101.2863706127128</v>
      </c>
      <c r="D50" s="613"/>
      <c r="E50" s="613"/>
      <c r="F50" s="670"/>
      <c r="G50" s="670"/>
      <c r="H50" s="1"/>
      <c r="I50" s="1"/>
      <c r="J50" s="1"/>
      <c r="K50" s="1"/>
      <c r="L50" s="1"/>
      <c r="M50" s="1"/>
      <c r="N50" s="1"/>
      <c r="O50" s="1"/>
    </row>
    <row r="51" spans="2:15" ht="15.6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ht="15.6" x14ac:dyDescent="0.3">
      <c r="B52" s="1"/>
      <c r="C52" s="1"/>
      <c r="D52" s="27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ht="15.6" x14ac:dyDescent="0.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ht="15.6" x14ac:dyDescent="0.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15.6" x14ac:dyDescent="0.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15.6" x14ac:dyDescent="0.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5" ht="15.6" x14ac:dyDescent="0.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5" ht="15.6" x14ac:dyDescent="0.3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5" ht="15.6" x14ac:dyDescent="0.3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5" ht="15.6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5" ht="15.6" x14ac:dyDescent="0.3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5" ht="15.6" x14ac:dyDescent="0.3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5" ht="15.6" x14ac:dyDescent="0.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5" ht="15.6" x14ac:dyDescent="0.3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5" ht="15.6" x14ac:dyDescent="0.3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5.6" x14ac:dyDescent="0.3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5.6" x14ac:dyDescent="0.3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15.6" x14ac:dyDescent="0.3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15.6" x14ac:dyDescent="0.3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15.6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15.6" x14ac:dyDescent="0.3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15.6" x14ac:dyDescent="0.3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15.6" x14ac:dyDescent="0.3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15.6" x14ac:dyDescent="0.3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 ht="15.6" x14ac:dyDescent="0.3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 ht="15.6" x14ac:dyDescent="0.3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ht="15.6" x14ac:dyDescent="0.3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</sheetData>
  <mergeCells count="50">
    <mergeCell ref="I15:I16"/>
    <mergeCell ref="J15:J16"/>
    <mergeCell ref="G26:G27"/>
    <mergeCell ref="H26:I27"/>
    <mergeCell ref="J26:K27"/>
    <mergeCell ref="K15:K16"/>
    <mergeCell ref="L15:L16"/>
    <mergeCell ref="J6:K6"/>
    <mergeCell ref="G3:G4"/>
    <mergeCell ref="B15:B16"/>
    <mergeCell ref="C15:C16"/>
    <mergeCell ref="D15:D16"/>
    <mergeCell ref="E15:E16"/>
    <mergeCell ref="F15:F16"/>
    <mergeCell ref="G15:G16"/>
    <mergeCell ref="J2:K3"/>
    <mergeCell ref="L2:L3"/>
    <mergeCell ref="J4:K5"/>
    <mergeCell ref="L4:L5"/>
    <mergeCell ref="B3:B4"/>
    <mergeCell ref="C3:C4"/>
    <mergeCell ref="H15:H16"/>
    <mergeCell ref="B26:B27"/>
    <mergeCell ref="C26:C27"/>
    <mergeCell ref="B25:F25"/>
    <mergeCell ref="D3:D4"/>
    <mergeCell ref="E3:E4"/>
    <mergeCell ref="F3:F4"/>
    <mergeCell ref="F26:F27"/>
    <mergeCell ref="E26:E27"/>
    <mergeCell ref="D26:D27"/>
    <mergeCell ref="B35:F35"/>
    <mergeCell ref="B36:B37"/>
    <mergeCell ref="C36:C37"/>
    <mergeCell ref="D36:D37"/>
    <mergeCell ref="E36:E37"/>
    <mergeCell ref="F36:F37"/>
    <mergeCell ref="G36:H37"/>
    <mergeCell ref="F46:G46"/>
    <mergeCell ref="F47:G48"/>
    <mergeCell ref="F49:G50"/>
    <mergeCell ref="B46:C46"/>
    <mergeCell ref="D46:E46"/>
    <mergeCell ref="D47:E48"/>
    <mergeCell ref="D49:E50"/>
    <mergeCell ref="Q27:Q28"/>
    <mergeCell ref="M27:M28"/>
    <mergeCell ref="N27:N28"/>
    <mergeCell ref="O27:O28"/>
    <mergeCell ref="P27:P28"/>
  </mergeCells>
  <pageMargins left="0.7" right="0.7" top="0.75" bottom="0.75" header="0.3" footer="0.3"/>
  <pageSetup paperSize="9" scale="75" fitToWidth="0" fitToHeight="0" orientation="portrait" horizontalDpi="360" verticalDpi="360" r:id="rId1"/>
  <ignoredErrors>
    <ignoredError sqref="K17:K22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</vt:i4>
      </vt:variant>
    </vt:vector>
  </HeadingPairs>
  <TitlesOfParts>
    <vt:vector size="13" baseType="lpstr">
      <vt:lpstr>stima car. unit.</vt:lpstr>
      <vt:lpstr>Carichi unitari</vt:lpstr>
      <vt:lpstr>Travi</vt:lpstr>
      <vt:lpstr>Carichi sulle travi</vt:lpstr>
      <vt:lpstr>Carichi sui pilastri</vt:lpstr>
      <vt:lpstr>Masse di piano</vt:lpstr>
      <vt:lpstr>Pilastri</vt:lpstr>
      <vt:lpstr> Masse e forze</vt:lpstr>
      <vt:lpstr>Car. sol</vt:lpstr>
      <vt:lpstr>Ap. globale</vt:lpstr>
      <vt:lpstr>Ap. tipologi di pila </vt:lpstr>
      <vt:lpstr>Rigidezze</vt:lpstr>
      <vt:lpstr>'Carichi unitari'!Area_stampa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Graziella</dc:creator>
  <cp:lastModifiedBy>Graziella</cp:lastModifiedBy>
  <dcterms:created xsi:type="dcterms:W3CDTF">2016-11-13T08:53:40Z</dcterms:created>
  <dcterms:modified xsi:type="dcterms:W3CDTF">2017-02-26T10:52:34Z</dcterms:modified>
</cp:coreProperties>
</file>